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ANUSRUTA\Downloads\"/>
    </mc:Choice>
  </mc:AlternateContent>
  <xr:revisionPtr revIDLastSave="0" documentId="8_{4EC85236-FD3C-41ED-BE21-623E74C110B8}" xr6:coauthVersionLast="47" xr6:coauthVersionMax="47" xr10:uidLastSave="{00000000-0000-0000-0000-000000000000}"/>
  <bookViews>
    <workbookView xWindow="-108" yWindow="-108" windowWidth="23256" windowHeight="12456" firstSheet="8" activeTab="7"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Blogs!$A$1:$Z$673</definedName>
    <definedName name="_xlnm._FilterDatabase" localSheetId="8" hidden="1">BNs!$A$1:$Y$183</definedName>
    <definedName name="_xlnm._FilterDatabase" localSheetId="9" hidden="1">'Case Studies'!$A$1:$AB$26</definedName>
    <definedName name="_xlnm._FilterDatabase" localSheetId="7" hidden="1">IFNs!$A$1:$E$154</definedName>
    <definedName name="_xlnm._FilterDatabase" localSheetId="1" hidden="1">'Media Release'!$A$1:$G$98</definedName>
    <definedName name="_xlnm._FilterDatabase" localSheetId="14" hidden="1">'MI BNs'!$A$1:$Y$7</definedName>
    <definedName name="_xlnm._FilterDatabase" localSheetId="13" hidden="1">OPES!$A$1:$Y$1</definedName>
    <definedName name="_xlnm._FilterDatabase" localSheetId="4" hidden="1">Podcast!$A$1:$X$42</definedName>
    <definedName name="_xlnm._FilterDatabase" localSheetId="6" hidden="1">'Policy Briefs'!$A$1:$Y$30</definedName>
    <definedName name="_xlnm._FilterDatabase" localSheetId="15" hidden="1">'POP BNs'!$A$1:$Z$1</definedName>
    <definedName name="_xlnm._FilterDatabase" localSheetId="5" hidden="1">Presentations!$A$1:$Y$52</definedName>
    <definedName name="_xlnm._FilterDatabase" localSheetId="0" hidden="1">'Research Papers'!$A$1:$Y$443</definedName>
    <definedName name="_xlnm._FilterDatabase" localSheetId="10" hidden="1">'Strategic Insights'!$A$1:$C$27</definedName>
    <definedName name="_xlnm._FilterDatabase" localSheetId="11" hidden="1">'Technical Papers'!$C$1:$C$1001</definedName>
    <definedName name="_xlnm._FilterDatabase" localSheetId="3" hidden="1">Videos!$A$1:$F$386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4" l="1"/>
  <c r="C684" i="11"/>
  <c r="C683" i="11"/>
  <c r="C682" i="11"/>
  <c r="C681" i="11"/>
  <c r="C680" i="11"/>
  <c r="C679" i="11"/>
  <c r="D2" i="16"/>
  <c r="C2" i="16"/>
  <c r="D3" i="16"/>
  <c r="C3" i="16"/>
  <c r="C446" i="3"/>
  <c r="C445" i="3"/>
  <c r="C444" i="3"/>
  <c r="C42" i="14"/>
  <c r="C678" i="11"/>
  <c r="C677" i="11"/>
  <c r="C676" i="11"/>
  <c r="C675" i="11"/>
  <c r="C674" i="11"/>
  <c r="D4" i="16"/>
  <c r="C4" i="16"/>
  <c r="D5" i="16"/>
  <c r="C5" i="16"/>
  <c r="D6" i="16"/>
  <c r="C6" i="16"/>
  <c r="C385" i="10"/>
  <c r="D114" i="16"/>
  <c r="D112" i="16"/>
  <c r="D111" i="16"/>
  <c r="D110" i="16"/>
  <c r="D109" i="16"/>
  <c r="D108" i="16"/>
  <c r="D107" i="16"/>
  <c r="D106" i="16"/>
  <c r="D105" i="16"/>
  <c r="D104" i="16"/>
  <c r="D103" i="16"/>
  <c r="D102" i="16"/>
  <c r="C116" i="16"/>
  <c r="C115" i="16"/>
  <c r="C114" i="16"/>
  <c r="C113" i="16"/>
  <c r="C112" i="16"/>
  <c r="C111" i="16"/>
  <c r="C110" i="16"/>
  <c r="C109" i="16"/>
  <c r="C108" i="16"/>
  <c r="C107" i="16"/>
  <c r="C106" i="16"/>
  <c r="C105" i="16"/>
  <c r="C104" i="16"/>
  <c r="C103" i="16"/>
  <c r="C102" i="16"/>
  <c r="D98" i="16"/>
  <c r="D96" i="16"/>
  <c r="D92" i="16"/>
  <c r="D90" i="16"/>
  <c r="D88" i="16"/>
  <c r="D87" i="16"/>
  <c r="D86" i="16"/>
  <c r="D85" i="16"/>
  <c r="D84" i="16"/>
  <c r="D83" i="16"/>
  <c r="D82" i="16"/>
  <c r="D81" i="16"/>
  <c r="D80" i="16"/>
  <c r="D79" i="16"/>
  <c r="D78" i="16"/>
  <c r="D77" i="16"/>
  <c r="D76" i="16"/>
  <c r="D75" i="16"/>
  <c r="D74" i="16"/>
  <c r="D73" i="16"/>
  <c r="D72" i="16"/>
  <c r="D71" i="16"/>
  <c r="D70" i="16"/>
  <c r="D69" i="16"/>
  <c r="D68" i="16"/>
  <c r="D67" i="16"/>
  <c r="D66" i="16"/>
  <c r="D65" i="16"/>
  <c r="D64" i="16"/>
  <c r="D63" i="16"/>
  <c r="D62" i="16"/>
  <c r="D61" i="16"/>
  <c r="D60" i="16"/>
  <c r="D59" i="16"/>
  <c r="D58" i="16"/>
  <c r="D57" i="16"/>
  <c r="D55" i="16"/>
  <c r="D54" i="16"/>
  <c r="D53" i="16"/>
  <c r="D52" i="16"/>
  <c r="D50" i="16"/>
  <c r="D49" i="16"/>
  <c r="D48" i="16"/>
  <c r="D47" i="16"/>
  <c r="D46" i="16"/>
  <c r="D45" i="16"/>
  <c r="D44" i="16"/>
  <c r="D43" i="16"/>
  <c r="D42" i="16"/>
  <c r="D40" i="16"/>
  <c r="D39" i="16"/>
  <c r="D38" i="16"/>
  <c r="D37" i="16"/>
  <c r="D34" i="16"/>
  <c r="D33" i="16"/>
  <c r="D32" i="16"/>
  <c r="D31" i="16"/>
  <c r="D30" i="16"/>
  <c r="D29" i="16"/>
  <c r="D28" i="16"/>
  <c r="D27" i="16"/>
  <c r="D26" i="16"/>
  <c r="D25" i="16"/>
  <c r="D24" i="16"/>
  <c r="D23" i="16"/>
  <c r="D22" i="16"/>
  <c r="D21" i="16"/>
  <c r="D20" i="16"/>
  <c r="D19" i="16"/>
  <c r="D18" i="16"/>
  <c r="D17" i="16"/>
  <c r="D16" i="16"/>
  <c r="D14" i="16"/>
  <c r="D13" i="16"/>
  <c r="D12" i="16"/>
  <c r="D11" i="16"/>
  <c r="D10" i="16"/>
  <c r="D9" i="16"/>
  <c r="D8" i="16"/>
  <c r="D7" i="16"/>
  <c r="C29" i="8"/>
  <c r="C12" i="12"/>
  <c r="C11" i="12"/>
  <c r="C10" i="12"/>
  <c r="C9" i="12"/>
  <c r="C26" i="9"/>
  <c r="C25" i="9"/>
  <c r="C20" i="9"/>
  <c r="C100" i="2"/>
  <c r="C28" i="8"/>
  <c r="C46" i="4"/>
  <c r="C670" i="11"/>
  <c r="C253" i="11"/>
  <c r="C252" i="11"/>
  <c r="C251" i="11"/>
  <c r="C250" i="11"/>
  <c r="C249" i="11"/>
  <c r="C248" i="11"/>
  <c r="C247" i="11"/>
  <c r="C246" i="11"/>
  <c r="C206" i="11"/>
  <c r="C189" i="11"/>
  <c r="C183" i="11"/>
  <c r="C182" i="11"/>
  <c r="C178" i="11"/>
  <c r="C179" i="11"/>
  <c r="C180" i="11"/>
  <c r="C181" i="11"/>
  <c r="C25" i="3"/>
  <c r="C443" i="3"/>
  <c r="C442" i="3"/>
  <c r="C441" i="3"/>
  <c r="C440" i="3"/>
  <c r="C439" i="3"/>
  <c r="C438" i="3"/>
  <c r="C437" i="3"/>
  <c r="C436" i="3"/>
  <c r="C435" i="3"/>
  <c r="C434" i="3"/>
  <c r="C433" i="3"/>
  <c r="C432" i="3"/>
  <c r="C337" i="3"/>
  <c r="C263" i="3"/>
  <c r="C262" i="3"/>
  <c r="C199" i="3"/>
  <c r="C190" i="3"/>
  <c r="C34" i="3"/>
  <c r="C23" i="3"/>
  <c r="C40" i="14"/>
  <c r="C39" i="14"/>
  <c r="C386" i="10"/>
  <c r="C177" i="10"/>
  <c r="C176" i="10"/>
  <c r="C175" i="10"/>
  <c r="C174" i="10"/>
  <c r="C173" i="10"/>
  <c r="C172" i="10"/>
  <c r="C171" i="10"/>
  <c r="C170" i="10"/>
  <c r="C169" i="10"/>
  <c r="C168" i="10"/>
  <c r="C167" i="10"/>
  <c r="C165" i="10"/>
  <c r="C166" i="10"/>
  <c r="C164" i="10"/>
  <c r="C163" i="10"/>
  <c r="C162" i="10"/>
  <c r="C161" i="10"/>
  <c r="C160" i="10"/>
  <c r="C159" i="10"/>
  <c r="C158" i="10"/>
  <c r="C157" i="10"/>
  <c r="C156" i="10"/>
  <c r="C155" i="10"/>
  <c r="C154" i="10"/>
  <c r="C153" i="10"/>
  <c r="C152" i="10"/>
  <c r="C151" i="10"/>
  <c r="C149" i="10"/>
  <c r="C148" i="10"/>
  <c r="C147" i="10"/>
  <c r="C146" i="10"/>
  <c r="C145" i="10"/>
  <c r="C144" i="10"/>
  <c r="C143" i="10"/>
  <c r="C142" i="10"/>
  <c r="C141" i="10"/>
  <c r="C140" i="10"/>
  <c r="C139" i="10"/>
  <c r="C138" i="10"/>
  <c r="C137" i="10"/>
  <c r="C136" i="10"/>
  <c r="C135" i="10"/>
  <c r="C134" i="10"/>
  <c r="C133" i="10"/>
  <c r="C132" i="10"/>
  <c r="C131" i="10"/>
  <c r="C130" i="10"/>
  <c r="C129" i="10"/>
  <c r="C128" i="10"/>
  <c r="C127" i="10"/>
  <c r="C126" i="10"/>
  <c r="C125" i="10"/>
  <c r="C124" i="10"/>
  <c r="C123" i="10"/>
  <c r="C122" i="10"/>
  <c r="C121" i="10"/>
  <c r="C120" i="10"/>
  <c r="C119" i="10"/>
  <c r="C118" i="10"/>
  <c r="C117" i="10"/>
  <c r="C116" i="10"/>
  <c r="C115" i="10"/>
  <c r="C114" i="10"/>
  <c r="C113" i="10"/>
  <c r="C112" i="10"/>
  <c r="C111" i="10"/>
  <c r="C110" i="10"/>
  <c r="C109" i="10"/>
  <c r="C107" i="10"/>
  <c r="C108"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2" i="16"/>
  <c r="C31" i="16"/>
  <c r="C30" i="16"/>
  <c r="C29" i="16"/>
  <c r="C28" i="16"/>
  <c r="C27" i="16"/>
  <c r="C26" i="16"/>
  <c r="C25" i="16"/>
  <c r="C24" i="16"/>
  <c r="C23" i="16"/>
  <c r="C22" i="16"/>
  <c r="C21" i="16"/>
  <c r="C20" i="16"/>
  <c r="C19" i="16"/>
  <c r="C18" i="16"/>
  <c r="C16" i="16"/>
  <c r="C17" i="16"/>
  <c r="C15" i="16"/>
  <c r="C14" i="16"/>
  <c r="C13" i="16"/>
  <c r="C12" i="16"/>
  <c r="C11" i="16"/>
  <c r="C10" i="16"/>
  <c r="C9" i="16"/>
  <c r="C8" i="16"/>
  <c r="C7" i="16"/>
  <c r="B8" i="12"/>
  <c r="B7" i="12"/>
  <c r="B6" i="12"/>
  <c r="B2" i="12"/>
  <c r="B177" i="2"/>
  <c r="B17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300-000001000000}">
      <text>
        <r>
          <rPr>
            <sz val="11"/>
            <color rgb="FF000000"/>
            <rFont val="Calibri"/>
            <family val="2"/>
          </rPr>
          <t>======
ID#AAAAI965U78
Author    (2020-02-20 08:17:25)
Video 47 and 52 are same</t>
        </r>
      </text>
    </comment>
    <comment ref="B67" authorId="0" shapeId="0" xr:uid="{00000000-0006-0000-0300-000002000000}">
      <text>
        <r>
          <rPr>
            <sz val="11"/>
            <color rgb="FF000000"/>
            <rFont val="Calibri"/>
            <family val="2"/>
          </rPr>
          <t>======
ID#AAAAI965U7w
Author    (2020-02-20 08:17:25)
Not uploaded: Content is not relevant.</t>
        </r>
      </text>
    </comment>
    <comment ref="B130" authorId="0" shapeId="0" xr:uid="{00000000-0006-0000-0300-000003000000}">
      <text>
        <r>
          <rPr>
            <sz val="11"/>
            <color rgb="FF000000"/>
            <rFont val="Calibri"/>
            <family val="2"/>
          </rPr>
          <t>======
ID#AAAAI965U7Y
Author    (2020-02-20 08:17:25)
Not uploaded: Content is not relevant.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700-000001000000}">
      <text>
        <r>
          <rPr>
            <sz val="11"/>
            <color rgb="FF000000"/>
            <rFont val="Calibri"/>
            <family val="2"/>
          </rPr>
          <t>======
ID#AAAAI965U7s
Author    (2020-02-20 08:17:25)
Need to relook</t>
        </r>
      </text>
    </comment>
    <comment ref="AE20" authorId="0" shapeId="0" xr:uid="{00000000-0006-0000-07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700-000003000000}">
      <text>
        <r>
          <rPr>
            <sz val="11"/>
            <color rgb="FF000000"/>
            <rFont val="Calibri"/>
            <family val="2"/>
          </rPr>
          <t>======
ID#AAAAI965U74
Author    (2020-02-20 08:17:25)
This should be regional rural bank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F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<sst xmlns="http://schemas.openxmlformats.org/spreadsheetml/2006/main" count="6428" uniqueCount="4957">
  <si>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</si>
  <si>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</si>
  <si>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</si>
  <si>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</si>
  <si>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</si>
  <si>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</si>
  <si>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</si>
  <si>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</si>
  <si>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</si>
  <si>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</si>
  <si>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</si>
  <si>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</si>
  <si>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</si>
  <si>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</si>
  <si>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</si>
  <si>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</si>
  <si>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</si>
  <si>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</si>
  <si>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</si>
  <si>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</si>
  <si>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</si>
  <si>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</si>
  <si>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</si>
  <si>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</si>
  <si>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</si>
  <si>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</si>
  <si>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</si>
  <si>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</si>
  <si>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</si>
  <si>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</si>
  <si>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</si>
  <si>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</si>
  <si>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</si>
  <si>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</si>
  <si>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</si>
  <si>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</si>
  <si>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</si>
  <si>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</si>
  <si>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</si>
  <si>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</si>
  <si>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</si>
  <si>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</si>
  <si>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</si>
  <si>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</si>
  <si>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</si>
  <si>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</si>
  <si>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</si>
  <si>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</si>
  <si>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</si>
  <si>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</si>
  <si>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</si>
  <si>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</si>
  <si>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</si>
  <si>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</si>
  <si>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</si>
  <si>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</si>
  <si>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</si>
  <si>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</si>
  <si>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</si>
  <si>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</si>
  <si>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</si>
  <si>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</si>
  <si>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</si>
  <si>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</si>
  <si>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</si>
  <si>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</si>
  <si>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</si>
  <si>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</si>
  <si>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</si>
  <si>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</si>
  <si>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</si>
  <si>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</si>
  <si>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</si>
  <si>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</si>
  <si>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</si>
  <si>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</si>
  <si>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</si>
  <si>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</si>
  <si>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</si>
  <si>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</si>
  <si>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</si>
  <si>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</si>
  <si>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</si>
  <si>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</si>
  <si>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</si>
  <si>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</si>
  <si>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</si>
  <si>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</si>
  <si>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</si>
  <si>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</si>
  <si>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</si>
  <si>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</si>
  <si>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</si>
  <si>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</si>
  <si>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</si>
  <si>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</si>
  <si>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</si>
  <si>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</si>
  <si>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</si>
  <si>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</si>
  <si>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</si>
  <si>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</si>
  <si>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</si>
  <si>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</si>
  <si>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</si>
  <si>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</si>
  <si>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</si>
  <si>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</si>
  <si>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</si>
  <si>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</si>
  <si>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</si>
  <si>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</si>
  <si>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</si>
  <si>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</si>
  <si>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</si>
  <si>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</si>
  <si>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</si>
  <si>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</si>
  <si>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</si>
  <si>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</si>
  <si>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</si>
  <si>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</si>
  <si>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</si>
  <si>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</si>
  <si>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</si>
  <si>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</si>
  <si>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</si>
  <si>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</si>
  <si>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</si>
  <si>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</si>
  <si>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</si>
  <si>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</si>
  <si>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</si>
  <si>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</si>
  <si>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</si>
  <si>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</si>
  <si>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</si>
  <si>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</si>
  <si>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</si>
  <si>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</si>
  <si>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</si>
  <si>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</si>
  <si>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</si>
  <si>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</si>
  <si>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</si>
  <si>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</si>
  <si>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</si>
  <si>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</si>
  <si>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</si>
  <si>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</si>
  <si>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</si>
  <si>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</si>
  <si>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</si>
  <si>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</si>
  <si>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</si>
  <si>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</si>
  <si>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</si>
  <si>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</si>
  <si>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</si>
  <si>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</si>
  <si>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</si>
  <si>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</si>
  <si>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</si>
  <si>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</si>
  <si>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</si>
  <si>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</si>
  <si>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</si>
  <si>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</si>
  <si>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</si>
  <si>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</si>
  <si>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</si>
  <si>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</si>
  <si>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</si>
  <si>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</si>
  <si>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</si>
  <si>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</si>
  <si>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</si>
  <si>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</si>
  <si>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</si>
  <si>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</si>
  <si>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</si>
  <si>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</si>
  <si>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</si>
  <si>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</si>
  <si>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</si>
  <si>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</si>
  <si>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</si>
  <si>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</si>
  <si>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</si>
  <si>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</si>
  <si>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</si>
  <si>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</si>
  <si>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</si>
  <si>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</si>
  <si>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</si>
  <si>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</si>
  <si>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</si>
  <si>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</si>
  <si>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</si>
  <si>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</si>
  <si>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</si>
  <si>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</si>
  <si>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</si>
  <si>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</si>
  <si>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</si>
  <si>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</si>
  <si>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</si>
  <si>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</si>
  <si>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</si>
  <si>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</si>
  <si>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</si>
  <si>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</si>
  <si>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</si>
  <si>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</si>
  <si>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</si>
  <si>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</si>
  <si>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</si>
  <si>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</si>
  <si>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</si>
  <si>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</si>
  <si>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</si>
  <si>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</si>
  <si>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</si>
  <si>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</si>
  <si>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</si>
  <si>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</si>
  <si>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</si>
  <si>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</si>
  <si>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</si>
  <si>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</si>
  <si>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</si>
  <si>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</si>
  <si>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</si>
  <si>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</si>
  <si>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</si>
  <si>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</si>
  <si>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</si>
  <si>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</si>
  <si>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</si>
  <si>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</si>
  <si>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</si>
  <si>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</si>
  <si>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</si>
  <si>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</si>
  <si>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</si>
  <si>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</si>
  <si>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</si>
  <si>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</si>
  <si>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</si>
  <si>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</si>
  <si>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</si>
  <si>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</si>
  <si>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</si>
  <si>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</si>
  <si>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</si>
  <si>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</si>
  <si>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</si>
  <si>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</si>
  <si>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</si>
  <si>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</si>
  <si>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</si>
  <si>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</si>
  <si>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</si>
  <si>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</si>
  <si>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</si>
  <si>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</si>
  <si>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</si>
  <si>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</si>
  <si>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</si>
  <si>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</si>
  <si>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</si>
  <si>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</si>
  <si>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</si>
  <si>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</si>
  <si>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</si>
  <si>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</si>
  <si>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</si>
  <si>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</si>
  <si>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</si>
  <si>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</si>
  <si>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</si>
  <si>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</si>
  <si>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</si>
  <si>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</si>
  <si>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</si>
  <si>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</si>
  <si>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</si>
  <si>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</si>
  <si>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</si>
  <si>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</si>
  <si>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</si>
  <si>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</si>
  <si>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</si>
  <si>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</si>
  <si>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</si>
  <si>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</si>
  <si>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</si>
  <si>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</si>
  <si>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</si>
  <si>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</si>
  <si>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</si>
  <si>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</si>
  <si>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</si>
  <si>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</si>
  <si>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</si>
  <si>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</si>
  <si>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</si>
  <si>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</si>
  <si>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</si>
  <si>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</si>
  <si>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</si>
  <si>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</si>
  <si>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</si>
  <si>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</si>
  <si>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</si>
  <si>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</si>
  <si>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</si>
  <si>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</si>
  <si>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</si>
  <si>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</si>
  <si>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</si>
  <si>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</si>
  <si>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</si>
  <si>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</si>
  <si>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</si>
  <si>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</si>
  <si>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</si>
  <si>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</si>
  <si>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</si>
  <si>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</si>
  <si>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</si>
  <si>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</si>
  <si>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</si>
  <si>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</si>
  <si>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</si>
  <si>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</si>
  <si>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</si>
  <si>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</si>
  <si>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</si>
  <si>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</si>
  <si>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</si>
  <si>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</si>
  <si>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</si>
  <si>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</si>
  <si>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</si>
  <si>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</si>
  <si>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</si>
  <si>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</si>
  <si>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</si>
  <si>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</si>
  <si>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</si>
  <si>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</si>
  <si>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</si>
  <si>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</si>
  <si>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</si>
  <si>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</si>
  <si>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</si>
  <si>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</si>
  <si>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</si>
  <si>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</si>
  <si>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</si>
  <si>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</si>
  <si>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</si>
  <si>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</si>
  <si>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</si>
  <si>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</si>
  <si>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</si>
  <si>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</si>
  <si>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</si>
  <si>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</si>
  <si>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</si>
  <si>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</si>
  <si>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</si>
  <si>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</si>
  <si>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</si>
  <si>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</si>
  <si>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</si>
  <si>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</si>
  <si>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</si>
  <si>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</si>
  <si>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</si>
  <si>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</si>
  <si>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</si>
  <si>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</si>
  <si>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</si>
  <si>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</si>
  <si>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</si>
  <si>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</si>
  <si>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</si>
  <si>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</si>
  <si>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</si>
  <si>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</si>
  <si>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</si>
  <si>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</si>
  <si>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</si>
  <si>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</si>
  <si>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</si>
  <si>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</si>
  <si>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</si>
  <si>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</si>
  <si>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</si>
  <si>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</si>
  <si>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</si>
  <si>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</si>
  <si>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</si>
  <si>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</si>
  <si>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</si>
  <si>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</si>
  <si>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</si>
  <si>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</si>
  <si>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</si>
  <si>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</si>
  <si>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</si>
  <si>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</si>
  <si>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</si>
  <si>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</si>
  <si>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</si>
  <si>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</si>
  <si>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</si>
  <si>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</si>
  <si>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</si>
  <si>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</si>
  <si>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</si>
  <si>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</si>
  <si>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</si>
  <si>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</si>
  <si>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</si>
  <si>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</si>
  <si>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</si>
  <si>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</si>
  <si>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</si>
  <si>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</si>
  <si>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</si>
  <si>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</si>
  <si>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</si>
  <si>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</si>
  <si>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</si>
  <si>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</si>
  <si>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</si>
  <si>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</si>
  <si>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</si>
  <si>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</si>
  <si>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</si>
  <si>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</si>
  <si>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</si>
  <si>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</si>
  <si>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</si>
  <si>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</si>
  <si>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</si>
  <si>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</si>
  <si>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</si>
  <si>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</si>
  <si>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</si>
  <si>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</si>
  <si>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</si>
  <si>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</si>
  <si>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</si>
  <si>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</si>
  <si>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</si>
  <si>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</si>
  <si>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</si>
  <si>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</si>
  <si>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</si>
  <si>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</si>
  <si>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</si>
  <si>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</si>
  <si>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</si>
  <si>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</si>
  <si>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</si>
  <si>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</si>
  <si>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</si>
  <si>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</si>
  <si>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</si>
  <si>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</si>
  <si>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</si>
  <si>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</si>
  <si>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</si>
  <si>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</si>
  <si>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</si>
  <si>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</si>
  <si>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</si>
  <si>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</si>
  <si>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</si>
  <si>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</si>
  <si>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</si>
  <si>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</si>
  <si>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</si>
  <si>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</si>
  <si>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</si>
  <si>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</si>
  <si>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</si>
  <si>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</si>
  <si>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</si>
  <si>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</si>
  <si>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</si>
  <si>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</si>
  <si>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</si>
  <si>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</si>
  <si>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</si>
  <si>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</si>
  <si>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</si>
  <si>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</si>
  <si>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</si>
  <si>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</si>
  <si>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</si>
  <si>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</si>
  <si>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</si>
  <si>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</si>
  <si>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</si>
  <si>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</si>
  <si>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</si>
  <si>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</si>
  <si>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</si>
  <si>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</si>
  <si>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</si>
  <si>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</si>
  <si>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</si>
  <si>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</si>
  <si>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</si>
  <si>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</si>
  <si>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</si>
  <si>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</si>
  <si>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</si>
  <si>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</si>
  <si>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</si>
  <si>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</si>
  <si>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</si>
  <si>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</si>
  <si>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</si>
  <si>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</si>
  <si>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</si>
  <si>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</si>
  <si>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</si>
  <si>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</si>
  <si>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</si>
  <si>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</si>
  <si>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</si>
  <si>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</si>
  <si>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</si>
  <si>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</si>
  <si>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</si>
  <si>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</si>
  <si>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</si>
  <si>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</si>
  <si>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</si>
  <si>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</si>
  <si>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</si>
  <si>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</si>
  <si>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</si>
  <si>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</si>
  <si>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</si>
  <si>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</si>
  <si>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</si>
  <si>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</si>
  <si>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</si>
  <si>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</si>
  <si>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</si>
  <si>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</si>
  <si>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</si>
  <si>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</si>
  <si>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</si>
  <si>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</si>
  <si>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</si>
  <si>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</si>
  <si>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</si>
  <si>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</si>
  <si>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</si>
  <si>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</si>
  <si>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</si>
  <si>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</si>
  <si>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</si>
  <si>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</si>
  <si>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</si>
  <si>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</si>
  <si>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</si>
  <si>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</si>
  <si>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</si>
  <si>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</si>
  <si>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</si>
  <si>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</si>
  <si>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</si>
  <si>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</si>
  <si>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</si>
  <si>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</si>
  <si>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</si>
  <si>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</si>
  <si>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</si>
  <si>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</si>
  <si>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</si>
  <si>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</si>
  <si>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</si>
  <si>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</si>
  <si>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</si>
  <si>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</si>
  <si>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</si>
  <si>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</si>
  <si>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</si>
  <si>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</si>
  <si>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</si>
  <si>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</si>
  <si>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</si>
  <si>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</si>
  <si>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</si>
  <si>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</si>
  <si>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</si>
  <si>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</si>
  <si>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</si>
  <si>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</si>
  <si>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</si>
  <si>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</si>
  <si>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</si>
  <si>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</si>
  <si>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</si>
  <si>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</si>
  <si>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</si>
  <si>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</si>
  <si>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</si>
  <si>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</si>
  <si>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</si>
  <si>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</si>
  <si>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</si>
  <si>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</si>
  <si>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</si>
  <si>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</si>
  <si>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</si>
  <si>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</si>
  <si>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</si>
  <si>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</si>
  <si>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</si>
  <si>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</si>
  <si>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</si>
  <si>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</si>
  <si>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</si>
  <si>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</si>
  <si>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</si>
  <si>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</si>
  <si>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</si>
  <si>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</si>
  <si>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</si>
  <si>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</si>
  <si>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</si>
  <si>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</si>
  <si>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</si>
  <si>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</si>
  <si>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</si>
  <si>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</si>
  <si>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</si>
  <si>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</si>
  <si>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</si>
  <si>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</si>
  <si>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</si>
  <si>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</si>
  <si>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</si>
  <si>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</si>
  <si>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</si>
  <si>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</si>
  <si>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</si>
  <si>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</si>
  <si>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</si>
  <si>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</si>
  <si>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</si>
  <si>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</si>
  <si>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</si>
  <si>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</si>
  <si>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</si>
  <si>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</si>
  <si>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</si>
  <si>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</si>
  <si>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</si>
  <si>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</si>
  <si>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</si>
  <si>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</si>
  <si>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</si>
  <si>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</si>
  <si>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</si>
  <si>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</si>
  <si>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</si>
  <si>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</si>
  <si>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</si>
  <si>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</si>
  <si>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</si>
  <si>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</si>
  <si>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</si>
  <si>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</si>
  <si>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</si>
  <si>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</si>
  <si>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</si>
  <si>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</si>
  <si>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</si>
  <si>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</si>
  <si>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</si>
  <si>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</si>
  <si>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</si>
  <si>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</si>
  <si>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</si>
  <si>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</si>
  <si>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</si>
  <si>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</si>
  <si>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</si>
  <si>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</si>
  <si>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</si>
  <si>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</si>
  <si>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</si>
  <si>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</si>
  <si>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</si>
  <si>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</si>
  <si>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</si>
  <si>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</si>
  <si>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</si>
  <si>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</si>
  <si>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</si>
  <si>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</si>
  <si>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</si>
  <si>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</si>
  <si>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</si>
  <si>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</si>
  <si>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</si>
  <si>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</si>
  <si>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</si>
  <si>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</si>
  <si>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</si>
  <si>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</si>
  <si>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</si>
  <si>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</si>
  <si>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</si>
  <si>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</si>
  <si>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</si>
  <si>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</si>
  <si>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</si>
  <si>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</si>
  <si>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</si>
  <si>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</si>
  <si>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</si>
  <si>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</si>
  <si>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</si>
  <si>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</si>
  <si>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</si>
  <si>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</si>
  <si>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</si>
  <si>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</si>
  <si>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</si>
  <si>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</si>
  <si>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</si>
  <si>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</si>
  <si>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</si>
  <si>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</si>
  <si>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</si>
  <si>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</si>
  <si>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</si>
  <si>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</si>
  <si>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</si>
  <si>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</si>
  <si>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</si>
  <si>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</si>
  <si>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</si>
  <si>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</si>
  <si>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</si>
  <si>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</si>
  <si>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</si>
  <si>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</si>
  <si>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</si>
  <si>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</si>
  <si>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</si>
  <si>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</si>
  <si>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</si>
  <si>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</si>
  <si>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</si>
  <si>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</si>
  <si>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</si>
  <si>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</si>
  <si>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</si>
  <si>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</si>
  <si>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</si>
  <si>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</si>
  <si>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</si>
  <si>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</si>
  <si>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</si>
  <si>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</si>
  <si>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</si>
  <si>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</si>
  <si>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</si>
  <si>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</si>
  <si>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</si>
  <si>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</si>
  <si>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</si>
  <si>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</si>
  <si>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</si>
  <si>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</si>
  <si>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</si>
  <si>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</si>
  <si>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</si>
  <si>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</si>
  <si>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</si>
  <si>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</si>
  <si>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</si>
  <si>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</si>
  <si>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</si>
  <si>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</si>
  <si>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</si>
  <si>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</si>
  <si>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</si>
  <si>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</si>
  <si>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</si>
  <si>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</si>
  <si>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</si>
  <si>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</si>
  <si>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</si>
  <si>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</si>
  <si>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</si>
  <si>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</si>
  <si>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</si>
  <si>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</si>
  <si>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</si>
  <si>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</si>
  <si>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</si>
  <si>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</si>
  <si>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</si>
  <si>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</si>
  <si>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</si>
  <si>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</si>
  <si>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</si>
  <si>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</si>
  <si>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</si>
  <si>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</si>
  <si>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</si>
  <si>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</si>
  <si>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</si>
  <si>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</si>
  <si>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</si>
  <si>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</si>
  <si>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</si>
  <si>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</si>
  <si>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</si>
  <si>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</si>
  <si>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</si>
  <si>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</si>
  <si>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</si>
  <si>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</si>
  <si>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</si>
  <si>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</si>
  <si>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</si>
  <si>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</si>
  <si>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</si>
  <si>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</si>
  <si>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</si>
  <si>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</si>
  <si>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</si>
  <si>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</si>
  <si>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</si>
  <si>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</si>
  <si>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</si>
  <si>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</si>
  <si>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</si>
  <si>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</si>
  <si>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</si>
  <si>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</si>
  <si>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</si>
  <si>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</si>
  <si>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</si>
  <si>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</si>
  <si>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</si>
  <si>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</si>
  <si>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</si>
  <si>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</si>
  <si>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</si>
  <si>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</si>
  <si>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</si>
  <si>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</si>
  <si>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</si>
  <si>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</si>
  <si>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</si>
  <si>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</si>
  <si>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</si>
  <si>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</si>
  <si>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</si>
  <si>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</si>
  <si>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</si>
  <si>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</si>
  <si>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</si>
  <si>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</si>
  <si>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</si>
  <si>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</si>
  <si>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</si>
  <si>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</si>
  <si>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</si>
  <si>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</si>
  <si>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</si>
  <si>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</si>
  <si>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</si>
  <si>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</si>
  <si>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</si>
  <si>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</si>
  <si>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</si>
  <si>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</si>
  <si>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</si>
  <si>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</si>
  <si>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</si>
  <si>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</si>
  <si>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</si>
  <si>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</si>
  <si>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</si>
  <si>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</si>
  <si>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</si>
  <si>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</si>
  <si>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</si>
  <si>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</si>
  <si>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</si>
  <si>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</si>
  <si>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</si>
  <si>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</si>
  <si>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</si>
  <si>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</si>
  <si>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</si>
  <si>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</si>
  <si>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</si>
  <si>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</si>
  <si>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</si>
  <si>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</si>
  <si>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</si>
  <si>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</si>
  <si>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</si>
  <si>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</si>
  <si>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</si>
  <si>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</si>
  <si>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</si>
  <si>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</si>
  <si>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</si>
  <si>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</si>
  <si>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</si>
  <si>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</si>
  <si>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</si>
  <si>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</si>
  <si>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</si>
  <si>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</si>
  <si>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</si>
  <si>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</si>
  <si>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</si>
  <si>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</si>
  <si>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</si>
  <si>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</si>
  <si>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</si>
  <si>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</si>
  <si>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</si>
  <si>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</si>
  <si>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</si>
  <si>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</si>
  <si>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</si>
  <si>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</si>
  <si>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</si>
  <si>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</si>
  <si>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</si>
  <si>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</si>
  <si>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</si>
  <si>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</si>
  <si>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</si>
  <si>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</si>
  <si>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</si>
  <si>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</si>
  <si>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</si>
  <si>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</si>
  <si>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</si>
  <si>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</si>
  <si>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</si>
  <si>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</si>
  <si>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</si>
  <si>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</si>
  <si>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</si>
  <si>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</si>
  <si>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</si>
  <si>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</si>
  <si>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</si>
  <si>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</si>
  <si>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</si>
  <si>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</si>
  <si>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</si>
  <si>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</si>
  <si>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</si>
  <si>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</si>
  <si>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</si>
  <si>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</si>
  <si>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</si>
  <si>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</si>
  <si>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</si>
  <si>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</si>
  <si>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</si>
  <si>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</si>
  <si>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</si>
  <si>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</si>
  <si>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</si>
  <si>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</si>
  <si>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</si>
  <si>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</si>
  <si>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</si>
  <si>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</si>
  <si>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</si>
  <si>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</si>
  <si>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</si>
  <si>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</si>
  <si>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</si>
  <si>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</si>
  <si>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</si>
  <si>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</si>
  <si>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</si>
  <si>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</si>
  <si>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</si>
  <si>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</si>
  <si>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</si>
  <si>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</si>
  <si>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</si>
  <si>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</si>
  <si>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</si>
  <si>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</si>
  <si>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</si>
  <si>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</si>
  <si>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</si>
  <si>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</si>
  <si>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</si>
  <si>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</si>
  <si>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</si>
  <si>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</si>
  <si>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</si>
  <si>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</si>
  <si>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</si>
  <si>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</si>
  <si>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</si>
  <si>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</si>
  <si>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</si>
  <si>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</si>
  <si>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</si>
  <si>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</si>
  <si>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</si>
  <si>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</si>
  <si>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</si>
  <si>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</si>
  <si>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</si>
  <si>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</si>
  <si>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</si>
  <si>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</si>
  <si>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</si>
  <si>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</si>
  <si>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</si>
  <si>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</si>
  <si>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</si>
  <si>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</si>
  <si>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</si>
  <si>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</si>
  <si>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</si>
  <si>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</si>
  <si>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</si>
  <si>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</si>
  <si>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</si>
  <si>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</si>
  <si>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</si>
  <si>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</si>
  <si>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</si>
  <si>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</si>
  <si>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</si>
  <si>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</si>
  <si>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</si>
  <si>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</si>
  <si>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</si>
  <si>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</si>
  <si>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</si>
  <si>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</si>
  <si>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</si>
  <si>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</si>
  <si>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</si>
  <si>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</si>
  <si>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</si>
  <si>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</si>
  <si>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</si>
  <si>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</si>
  <si>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</si>
  <si>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</si>
  <si>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</si>
  <si>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</si>
  <si>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</si>
  <si>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</si>
  <si>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</si>
  <si>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</si>
  <si>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</si>
  <si>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</si>
  <si>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</si>
  <si>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</si>
  <si>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</si>
  <si>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</si>
  <si>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</si>
  <si>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</si>
  <si>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</si>
  <si>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</si>
  <si>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</si>
  <si>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</si>
  <si>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</si>
  <si>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</si>
  <si>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</si>
  <si>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</si>
  <si>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</si>
  <si>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</si>
  <si>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</si>
  <si>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</si>
  <si>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</si>
  <si>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</si>
  <si>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</si>
  <si>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</si>
  <si>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</si>
  <si>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</si>
  <si>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</si>
  <si>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</si>
  <si>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</si>
  <si>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</si>
  <si>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</si>
  <si>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</si>
  <si>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</si>
  <si>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</si>
  <si>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</si>
  <si>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</si>
  <si>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</si>
  <si>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</si>
  <si>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</si>
  <si>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</si>
  <si>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</si>
  <si>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</si>
  <si>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</si>
  <si>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</si>
  <si>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</si>
  <si>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</si>
  <si>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</si>
  <si>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</si>
  <si>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</si>
  <si>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</si>
  <si>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</si>
  <si>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</si>
  <si>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</si>
  <si>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</si>
  <si>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</si>
  <si>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</si>
  <si>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</si>
  <si>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</si>
  <si>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</si>
  <si>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</si>
  <si>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</si>
  <si>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</si>
  <si>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</si>
  <si>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</si>
  <si>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</si>
  <si>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</si>
  <si>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</si>
  <si>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</si>
  <si>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</si>
  <si>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</si>
  <si>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</si>
  <si>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</si>
  <si>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</si>
  <si>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</si>
  <si>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</si>
  <si>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</si>
  <si>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</si>
  <si>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</si>
  <si>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</si>
  <si>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</si>
  <si>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</si>
  <si>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</si>
  <si>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</si>
  <si>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</si>
  <si>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</si>
  <si>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</si>
  <si>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</si>
  <si>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The landscape and financial access of social commerce sellers in Indonesia</t>
  </si>
  <si>
    <t xml:space="preserve">This report by MSC draws on a study of 458 social commerce sellers across seven provinces, 70% of whom are women. It explores their business journeys, access to finance, and the opportunities to build a stronger, more inclusive digital economy. </t>
  </si>
  <si>
    <t>Putu Monica Christy, Bianda Kanani and Nabilla Prita Fiandini</t>
  </si>
  <si>
    <t>Md Farista Andalib, Anik Muntasir Chowdhury, Samveet Sahoo and Akhand Tiwari</t>
  </si>
  <si>
    <t>Roadmap to strengthen digital transactions in Bangladesh by 2031</t>
  </si>
  <si>
    <t>MSC helped Bangladesh Bank design a roadmap for a cashless economy by 2031. The plan tackles literacy, affordability, trust, and infrastructure gaps through 12 goals to expand access, inclusion, and sustainable digital adoption.</t>
  </si>
  <si>
    <t>Step by step: Building the ladder from AePS to UPI for India’s last-mile users</t>
  </si>
  <si>
    <t>The whitepaper shows how AePS bridges underserved groups into digital finance and outlines ways to help them transition to UPI through stronger agents, trust, and inclusive system reforms.</t>
  </si>
  <si>
    <t xml:space="preserve"> Akshat Pathak, Disha Bhavnani, Pallavi Jalan, Devika K Nair and David Mathew</t>
  </si>
  <si>
    <t>Unlocking smart supervision in the Pacific</t>
  </si>
  <si>
    <t>The report “Unlocking Smart Supervision in the Pacific” outlines a strategic approach to implement supervisory technology (SupTech) across Pacific Island regulators. The strategic approach addresses capacity challenges through a shared, modular platform that improves financial oversight, inclusion, and consumer protection in the region. This report was published by AFI, and MSC led the diagnostic study and supported the drafting of this report.</t>
  </si>
  <si>
    <t>Gender-intelligent banking: Branch counters to boardroomsGender-intelligent banking: Branch counters to boardrooms</t>
  </si>
  <si>
    <t>Women’s finance offers a vast untapped commercial opportunity, as revealed in MSC’s new white paper with the National Institute of Bank Management (NIBM). It introduces the RISE framework to help financial institutions embed gender intelligence into their strategy and operations and drive deeper customer engagement, growth, and sustainable business performance.</t>
  </si>
  <si>
    <t>Sonal Jaitly, Ayushi Misra and Dr. Naveen Kumar K</t>
  </si>
  <si>
    <t>Agent lifecycle playbook</t>
  </si>
  <si>
    <t>“Agent Lifecycle Playbook” provides a clear, evidence-based roadmap to build strong, sustainable, and gender-inclusive agent networks. This playbook offers practical strategies to strengthen each stage of the agent journey, which includes recruitment, training, and operational support. These improve last-mile service delivery and agent performance.</t>
  </si>
  <si>
    <t>The Intelligent Revenue Authority Readiness Report</t>
  </si>
  <si>
    <t>The report assesses digital revenue administration maturity across Nigeria’s 36 states and the Federal Capital Territory (FCT), identifying strengths, gaps, and priorities to advance intelligent, interoperable, and citizen-centric revenue systems.</t>
  </si>
  <si>
    <t>Vikram Sharma, Diganta Nayak and Karminder Malhotra</t>
  </si>
  <si>
    <t>The Digital Public Infrastructure Readiness Report</t>
  </si>
  <si>
    <t xml:space="preserve">The Nigeria – DPI readiness of States report outlines the maturity status of 37 Nigerian states across three pillars — Building blocks, Enabling environment, and DPI-enabled services. The report also includes tailored roadmaps to help states at different maturity levels with their DPI journey, for more effective digital transformation. </t>
  </si>
  <si>
    <t>Anshul Pachouri, Subhash Singh, Pavanesh Kumar Dwivedi and Pancham Pandey</t>
  </si>
  <si>
    <t>Every voice matters: Tracing the journey of grievance and redress for India’s LMI segment</t>
  </si>
  <si>
    <t xml:space="preserve">This report examines the experience of low- and moderate-income users when they register grievances and seek resolution within India’s financial services ecosystem. It draws on multi-state primary data to identify gaps in awareness, access, resolution timelines, and system accountability, and presents recommendations to strengthen grievance and redress mechanisms at scale. </t>
  </si>
  <si>
    <t>Resilient farming in the digital age: Overcoming AgTech adoption challenges in Africa and Asia - MicroSave Consulting (MSC)</t>
  </si>
  <si>
    <t>At MicroSave Consulting (MSC), we explore why AgTech adoption remains low in Africa and Asia. This webinar shares practical insights on financing, trust-building, and farmer-centric solutions needed to scale resilient and impactful digital agriculture.</t>
  </si>
  <si>
    <t>The missing link for agents: A review of agent grievance resolution systems in India - MicroSave Consulting (MSC)</t>
  </si>
  <si>
    <t>India has well-established systems for resolving customer grievances. However, these systems exclude business correspondent (BC) agents, who offer financial services to last-mile customers. The report highlights the need for agent grievance and introduces the SCORE framework to guide improvements.</t>
  </si>
  <si>
    <t>Title of the article</t>
  </si>
  <si>
    <t>Date of Release (MSC websites)</t>
  </si>
  <si>
    <t>Date of Release (Publications)</t>
  </si>
  <si>
    <t>Publication Name</t>
  </si>
  <si>
    <t>Author(s)</t>
  </si>
  <si>
    <t>Launch of the Equity Economics Forum to advance the agenda for equity in the Global South - MicroSave Consulting (MSC)</t>
  </si>
  <si>
    <t>The CSR universe</t>
  </si>
  <si>
    <t>India must clearly link its climate goals to public spending - MicroSave Consulting (MSC)</t>
  </si>
  <si>
    <t>ET Edge Insights</t>
  </si>
  <si>
    <t>Healthcare Sector Key Announcements and Implications – Union Budget 2026–27 - MicroSave Consulting (MSC)</t>
  </si>
  <si>
    <t>Bio Spectrum</t>
  </si>
  <si>
    <t>Dr. Puneet Khanduja</t>
  </si>
  <si>
    <t>Protecting climate-vulnerable: How microloans and microinsurance can build systemic disaster resilience - MicroSave Consulting (MSC)</t>
  </si>
  <si>
    <t>The Business Standard </t>
  </si>
  <si>
    <t>Graham Wright, Shahrukh Ahmed Latif and Farmina Hossain</t>
  </si>
  <si>
    <t>What to watch for if AI is to strengthen state capacity? - MicroSave Consulting (MSC)</t>
  </si>
  <si>
    <t>Express computer</t>
  </si>
  <si>
    <t>Arshi Aadil</t>
  </si>
  <si>
    <t>The microfinance bank ordinance: a blueprint for social ownership or tokenistic theater? - MicroSave Consulting (MSC)</t>
  </si>
  <si>
    <t>The daily star</t>
  </si>
  <si>
    <t>Zaki Haider</t>
  </si>
  <si>
    <t>From Pilots to Impact: Pre-AI Summit Pushes Scalable AI for Indian Agriculture - MicroSave Consulting (MSC)</t>
  </si>
  <si>
    <t>The Tribune</t>
  </si>
  <si>
    <t>Why AI inclusion matters more than AI innovation - MicroSave Consulting (MSC)</t>
  </si>
  <si>
    <t>“Hindustan Times”</t>
  </si>
  <si>
    <t>Mitul Thapliyal</t>
  </si>
  <si>
    <t>Union Budget 2026: MSC’s expert analysis - MicroSave Consulting (MSC)</t>
  </si>
  <si>
    <t>Agriculture in Budget: Why the next leap must be strategic, not incremental - MicroSave Consulting (MSC)</t>
  </si>
  <si>
    <t>The Hindu</t>
  </si>
  <si>
    <t>Navin Bhushan and Rajnish Kumar</t>
  </si>
  <si>
    <t>From infrastructure to intelligence: Rethinking India’s health priorities in Budget 2026 - MicroSave Consulting (MSC)</t>
  </si>
  <si>
    <t>“ET edge insights”</t>
  </si>
  <si>
    <t>AI pre-summit 2026: People, planet, and progress shape Indonesia–India cooperation toward ethical AI and a safer digital future - MicroSave Consulting (MSC)</t>
  </si>
  <si>
    <t>“Indian Embassy Jakarta”</t>
  </si>
  <si>
    <t>The Quiet Crisis of Care in a Young and Ageing India - MicroSave Consulting (MSC)</t>
  </si>
  <si>
    <t>Reimagining The Family</t>
  </si>
  <si>
    <t>Sonal Jaitly</t>
  </si>
  <si>
    <t>Women’s collectives driving India’s next phase of growth - MicroSave Consulting (MSC)</t>
  </si>
  <si>
    <t>Hindustan Times </t>
  </si>
  <si>
    <t>Women must power the digital economy</t>
  </si>
  <si>
    <t>Dhaka tribune</t>
  </si>
  <si>
    <t>Alvina Zafar and Zaki Haider</t>
  </si>
  <si>
    <t>Gender-Intelligent Banking is a key to Viksit Bharat– is the financial sector ready to contribute?</t>
  </si>
  <si>
    <t>Hans India</t>
  </si>
  <si>
    <t>Parul Tandon and Ayushi Misra</t>
  </si>
  <si>
    <t>Cities that care: Incorporate caregiving infrastructure into urban planning</t>
  </si>
  <si>
    <t>Mint</t>
  </si>
  <si>
    <t>Sonal Jaitly and Ankita Bhat</t>
  </si>
  <si>
    <t>How a government scheme turned gender intelligence into assets</t>
  </si>
  <si>
    <t>The policy paradox at the heart of Bangladesh’s digital finance story</t>
  </si>
  <si>
    <t>TBS News</t>
  </si>
  <si>
    <t>Alvina Zafar</t>
  </si>
  <si>
    <t>Interoperability in Bangladesh: The Stakes, the setbacks, and the way ahead</t>
  </si>
  <si>
    <t>Samveet Sahoo</t>
  </si>
  <si>
    <t>When Risk Models Fail the Vulnerable: A Case for Climate-Responsive Finance</t>
  </si>
  <si>
    <t>GARP</t>
  </si>
  <si>
    <t>Akhand Tiwari and Ayushi Misra</t>
  </si>
  <si>
    <t>Anna Roy, Sonal Jaitly and Vaishnavi Harish Mungale</t>
  </si>
  <si>
    <t>Indian banks can unlock USD 688 bn opportunity through gender-intelligent banking: Report</t>
  </si>
  <si>
    <t>ANI</t>
  </si>
  <si>
    <t>A digital key to women’s credit: Integrating SHGs with India’s finance system</t>
  </si>
  <si>
    <t>The CSR Universe</t>
  </si>
  <si>
    <t>Nishant Kumar and Abhishek Varshney</t>
  </si>
  <si>
    <t>29th Conference of the Parties: Expectations, outcomes, and debates around major agenda items</t>
  </si>
  <si>
    <t>CPRD</t>
  </si>
  <si>
    <t>Md. Shamsuddoha, Sheikh Nur Ataya Rabbi, Tanje-Un Jenat, Elmee Tabassum and Shanjia Shams</t>
  </si>
  <si>
    <t>Ethiopian government delegation visits India for learning exchange on NRLM</t>
  </si>
  <si>
    <t xml:space="preserve"> “Press Information Bureau Government of India”</t>
  </si>
  <si>
    <t>Scaling what matters: Empowering agents with meaningful communication design</t>
  </si>
  <si>
    <t>The Pioneer</t>
  </si>
  <si>
    <t>Akhand Tiwari and Ganesh Ananthanarayanan</t>
  </si>
  <si>
    <t>Microfinance institutions must go digital-first, but what holds them back?</t>
  </si>
  <si>
    <t>CXO today</t>
  </si>
  <si>
    <t>MSC supported BAPPENAS in launching the Blue Economy report: Strengthening the role of small-scale fisheries for Indonesia’s food security</t>
  </si>
  <si>
    <t>A call for inclusive, sustainable growth to unlock the potential of Kenya’s fisheries sector</t>
  </si>
  <si>
    <t>Victor Kiprop, Doreen Njau and Selfine Onyango</t>
  </si>
  <si>
    <t>Anil Gupta, Disha Bhavnani and David Matthew</t>
  </si>
  <si>
    <t>Safer street food in India: Strengthening nutrition security through multi-stakeholder action</t>
  </si>
  <si>
    <t>NUFFOODS Spectrum</t>
  </si>
  <si>
    <t>Dipanshi Sood, Dr. Puneet Khanduja, Manmohan Singh and Dr. Preeti Khanna</t>
  </si>
  <si>
    <t>Women’s financial literacy: What is key to meaningful financial inclusion?</t>
  </si>
  <si>
    <t>Melya Findi Astuti</t>
  </si>
  <si>
    <t>New credit reporting rules: What has changed for borrowers and lenders</t>
  </si>
  <si>
    <t>Why India’s expanding waistline demands urgent attention?</t>
  </si>
  <si>
    <t>Express Healthcare </t>
  </si>
  <si>
    <t>Dr. Puneet Khanduja and Dr. Preeti Khanna</t>
  </si>
  <si>
    <t>Fueling change: The multiple impacts of increasing liquefied petroleum gas usage in rural India</t>
  </si>
  <si>
    <t>NextBillion</t>
  </si>
  <si>
    <t>Shobhit Mishra and Vaishaly Shrimall</t>
  </si>
  <si>
    <t>To fight climate change, India must tap into its indigenous roots</t>
  </si>
  <si>
    <t>Firstpost</t>
  </si>
  <si>
    <t>Akhand Tiwari, Anant Jayant Natu and Parul Tandon</t>
  </si>
  <si>
    <t>Wings to Aspirations</t>
  </si>
  <si>
    <t>Pressreader</t>
  </si>
  <si>
    <t>Anil Gupta</t>
  </si>
  <si>
    <t>From food security towards nutrition security – The crucial role of the rice fortification initiative of the Government of India</t>
  </si>
  <si>
    <t>NuFFooDS Spectrum</t>
  </si>
  <si>
    <t>Manmohan Singh, Dipanshi Sood and Dr. Puneet Khanduja</t>
  </si>
  <si>
    <t>Can Bangladesh close the credit gap of microenterprises through digital platforms?</t>
  </si>
  <si>
    <t>Md Farista Andalib and Ihsan Mahboob Hoq</t>
  </si>
  <si>
    <t>Small investments, big hurdles: Why SEBI’s SIP initiative needs a stronger backbone</t>
  </si>
  <si>
    <t>The Gig Economy’s Big Moment: What Comes Next?</t>
  </si>
  <si>
    <t xml:space="preserve">The Tribune &amp; The Print </t>
  </si>
  <si>
    <t>Byomkesh Mishra and Akhand Tiwari</t>
  </si>
  <si>
    <t>Mutual funds for small investors? A good idea that needs the right execution</t>
  </si>
  <si>
    <t>Ayushi Misra and Akhand Tiwari</t>
  </si>
  <si>
    <t>Error 404</t>
  </si>
  <si>
    <t>Elderly care in India: The PMJAY perspective</t>
  </si>
  <si>
    <t>Express Healthcare</t>
  </si>
  <si>
    <t>Dr. Puneet Khanduja and Anirooddha Mukherjee</t>
  </si>
  <si>
    <t>European Microfinance Platform (e-MFP)</t>
  </si>
  <si>
    <t>Transforming Bihar through aquaculture</t>
  </si>
  <si>
    <t>The Hindu Business Line.</t>
  </si>
  <si>
    <t>Navin Bhushan, Vijaya Lakshmi and Arun Padiyar</t>
  </si>
  <si>
    <t>How to fight fraud against government program beneficiaries in India</t>
  </si>
  <si>
    <t>FinDev Gateway </t>
  </si>
  <si>
    <t>Mahima Dixit and Arshi Aadil</t>
  </si>
  <si>
    <t>Beyond the catch: How fish can fuel a healthier Indonesia</t>
  </si>
  <si>
    <t>The Jakarta Post</t>
  </si>
  <si>
    <t>Dipanshi Sood and Azaria Ekaputri</t>
  </si>
  <si>
    <t>Impact of bank mergers on low to moderate income communities</t>
  </si>
  <si>
    <t>Arfan Ali and Ayushi Misra</t>
  </si>
  <si>
    <t>Decoding the financial health of women-owned microbusinesses, India</t>
  </si>
  <si>
    <t> J.P. Morgan Chase &amp; Co.</t>
  </si>
  <si>
    <t>To build $30 trillion economy by 2047 focus on climate change, food security, skills, urbanisation, healthcare</t>
  </si>
  <si>
    <t>Economic Times</t>
  </si>
  <si>
    <t>Dr. Heera Lal and Shivansh Gupta</t>
  </si>
  <si>
    <t>Millets: The nutritional powerhouse for a sustainable India</t>
  </si>
  <si>
    <t>Krishi Jagran</t>
  </si>
  <si>
    <t>Abhishek Jain, Manmohan Singh and Dr. Puneet Khanduja</t>
  </si>
  <si>
    <t>Bridging the care deficit</t>
  </si>
  <si>
    <t>Anna Roy and Sonal Jaitly</t>
  </si>
  <si>
    <t>Rahul Chatterjee and Shawn Hunter</t>
  </si>
  <si>
    <t>Digital gender equality strives to connect half the world to the internet</t>
  </si>
  <si>
    <t>The Economic Times</t>
  </si>
  <si>
    <t>Sonal Jaitly and Akhand Tiwari</t>
  </si>
  <si>
    <t>Oct, 2023</t>
  </si>
  <si>
    <t>India Mobile Congress</t>
  </si>
  <si>
    <t>In a first, Fair Price Shops on-boards on Open Network Digital Commerce (ONDC)</t>
  </si>
  <si>
    <t>Careful, not customary: How can consent terms be better designed to protect users?</t>
  </si>
  <si>
    <t>Hertie School website</t>
  </si>
  <si>
    <t>Mahima Dixit and Damini Mohan</t>
  </si>
  <si>
    <t>Why are women entrepreneurs seeking mentors?</t>
  </si>
  <si>
    <t>The Hindu Business Line</t>
  </si>
  <si>
    <t>Sonal Jaitly and Anna Roy</t>
  </si>
  <si>
    <t>Access to bank accounts high, but usage pattern differs: Survey</t>
  </si>
  <si>
    <t>Atmanirbhar “Naari” for an Atmanirbhar India</t>
  </si>
  <si>
    <t>How are Mobile Money Agents Protecting Customers’ Data in Uganda?</t>
  </si>
  <si>
    <t>CGAP</t>
  </si>
  <si>
    <t>Surbhi Sood, Arshi Aadil, Myra Valenzuela and David Medine</t>
  </si>
  <si>
    <t>Can access to smartphones bridge the digital divide in sub-Saharan Africa?</t>
  </si>
  <si>
    <t>Next Billion</t>
  </si>
  <si>
    <t>Graham Wright and Amani M’Bale</t>
  </si>
  <si>
    <t>The Revolution MUST be Digitalized</t>
  </si>
  <si>
    <t>Financial Access</t>
  </si>
  <si>
    <t>Graham Wright, Anup Singh and Abhishek Anand</t>
  </si>
  <si>
    <t>India’s blanket approach to financial inclusion is leaving women behind: Here are four ways to close the gender gap</t>
  </si>
  <si>
    <t>Next Billion </t>
  </si>
  <si>
    <t>Akhand Tiwari, Sonal Jaitly and Saloni Tandon</t>
  </si>
  <si>
    <t>Job losses, business closure — Covid hit female entrepreneurs. Here’s how to support them</t>
  </si>
  <si>
    <t>The Print</t>
  </si>
  <si>
    <t>Susan Ferguson, Graham Wright and Sonal Jaitly</t>
  </si>
  <si>
    <t>Caregiving, the hidden engine of the economy</t>
  </si>
  <si>
    <t>The Hindu BusinessLine</t>
  </si>
  <si>
    <t>Sonal Jaitly and Preeti Syal</t>
  </si>
  <si>
    <t>A tale of the “other” workers: An observation on home-based women workers in Indonesia</t>
  </si>
  <si>
    <t>Dyana Savina and Eni Widiyanti</t>
  </si>
  <si>
    <t>Cool in crisis: How Bangladeshi MFIs stay resilient</t>
  </si>
  <si>
    <t>Graham Wright, Samveet Sahoo and Anik Muntasir Chowdhury</t>
  </si>
  <si>
    <t>Delivering social assistance during COVID with a “digital-first” approach: Lessons from India</t>
  </si>
  <si>
    <t>Preparing for life after COVID-19: How India’s healthcare system can better respond to future shocks</t>
  </si>
  <si>
    <t>Nextbillion </t>
  </si>
  <si>
    <t>Dr. Puneet Khanduja and Mitul Thapliyal</t>
  </si>
  <si>
    <t>Workshop on the impact of COVID-19 on MSMEs in Asia and Africa by Swiss Capacity Building Facility (SCBF) and MSC</t>
  </si>
  <si>
    <t>The Daily Star/ The Business Standard/ Dhaka Tribune</t>
  </si>
  <si>
    <t>A paradigm shift for fintechs: Why a coherent data strategy has become a business necessity</t>
  </si>
  <si>
    <t>Aakash Mehrotra, Mohak Srivastava, Monica Dutta, Rahul Chatterjee and Anshul Saxena</t>
  </si>
  <si>
    <t>Making bank accounts work for women: Lessons on designing gender-centric financial services</t>
  </si>
  <si>
    <t>Akhand Tiwari and Moinuddin Mohammed</t>
  </si>
  <si>
    <t>A boon for online commerce: How is COVID-19 transforming the industry in Bangladesh?</t>
  </si>
  <si>
    <t>Samveet Sahoo, Avi Hossain and Khandaker Shaoli Hassan</t>
  </si>
  <si>
    <t>How India can transform its fertilizer subsidy program</t>
  </si>
  <si>
    <t> Ritesh Rautela and Anurodh Giri</t>
  </si>
  <si>
    <t>Will the Pandemic Exacerbate or Mitigate the Digital Gender Gap?</t>
  </si>
  <si>
    <t>FinDev Gateway</t>
  </si>
  <si>
    <t>Parul Tandon and Sonal Jaitly</t>
  </si>
  <si>
    <t>Opinion | Designing financial products for women</t>
  </si>
  <si>
    <t>Livemint</t>
  </si>
  <si>
    <t>Abhishek Gupta and Akhand Tiwari</t>
  </si>
  <si>
    <t>Necessity is the mother of disruption: How Indonesia’s Fintech Startups can survive the do-or-die situation of COVID</t>
  </si>
  <si>
    <t>Anshul Saxena and Sheila Carina</t>
  </si>
  <si>
    <t>Survival, recovery, and building resilience: Transformation of financial institutions in the times of COVID-19 – Part 1</t>
  </si>
  <si>
    <t>Next Billion.</t>
  </si>
  <si>
    <t>Anup Singh and Graham Wright</t>
  </si>
  <si>
    <t>The power of unified digital agricultural services</t>
  </si>
  <si>
    <t>Soko Directory</t>
  </si>
  <si>
    <t>Elizabeth Berthe and Puneet Chopra</t>
  </si>
  <si>
    <t>Not Just Another Startup Accelerator in India: How the Financial Inclusion Lab is Shining a Light on Underserved Customers</t>
  </si>
  <si>
    <t>Anshul Saxena, Sunil Bhat and Anil Gupta</t>
  </si>
  <si>
    <t>Weathering a Perfect Storm – Part 2: Seven Ways Fintechs Can Survive the COVID-19 Pandemic</t>
  </si>
  <si>
    <t>Akshat Pathak, Anshul Saxena, Sunil Bhat and Anil Gupta</t>
  </si>
  <si>
    <t>Weathering a Perfect Storm – Part 1: The Challenges Facing Fintechs in Emerging Markets During COVID-19</t>
  </si>
  <si>
    <t>One Nation One Ration Card – The Road Ahead</t>
  </si>
  <si>
    <t>Zee Business</t>
  </si>
  <si>
    <t>Mitul Thapliyal and Abhishek Jain</t>
  </si>
  <si>
    <t>An insight into the case fatality rate and its association with preventive measures taken by government in response to Covid-19</t>
  </si>
  <si>
    <t>ET Healthworld.com</t>
  </si>
  <si>
    <t>Dr. Puneet Khanduja and Venkat Goli</t>
  </si>
  <si>
    <t>Is it the right time to push for wallet interoperability in Bangladesh?</t>
  </si>
  <si>
    <t>Financial Express</t>
  </si>
  <si>
    <t>Akhand Tiwari and Jakirul Islam</t>
  </si>
  <si>
    <t>How will the COVID-19 pandemic affect the Indian fintech startup ecosystem: Four predictions and one suggestion</t>
  </si>
  <si>
    <t>News 18 Tech </t>
  </si>
  <si>
    <t>Anshul Saxena</t>
  </si>
  <si>
    <t>The DFS ecosystem in Bangladesh</t>
  </si>
  <si>
    <t>The Financial Express</t>
  </si>
  <si>
    <t>When inclusion is not inclusive: What needs to change to achieve meaningful financial inclusion for women</t>
  </si>
  <si>
    <t>Bhavana Srivastava, Akhand Tiwari, Rahul Chatterjee and Abhishek Gupta</t>
  </si>
  <si>
    <t>Staying ahead of the technical assistance curve: Six lessons from FinTech start-ups in India</t>
  </si>
  <si>
    <t>Sunil Bhat, Anil Gupta, Sandeep Koujalgi and Priyanka Chopra</t>
  </si>
  <si>
    <t>Speculating on the future of financial inclusion: predictions, solutions (and warnings) for the next 20 years</t>
  </si>
  <si>
    <t>Graham Wright</t>
  </si>
  <si>
    <t>Gender centrality of mobile financial services in Bangladesh</t>
  </si>
  <si>
    <t>UNCDF SHIFT</t>
  </si>
  <si>
    <t>Akhand Tiwari, Bhavana Srivastava, Rahul Chatterjee and Ana Klincic Andrews</t>
  </si>
  <si>
    <t>Catalysing Digital Financial Services Through School Fees Payments</t>
  </si>
  <si>
    <t>Jan, 2018</t>
  </si>
  <si>
    <t>Pacific Financial Inclusion Programme (PFIP)</t>
  </si>
  <si>
    <t>Isaac Holly, Vivek Gupta, Priyank Mishra, Amit Joshi and Puneet Chopra</t>
  </si>
  <si>
    <t>The Clear Blue Water on the other side of the digital divide</t>
  </si>
  <si>
    <t>Smart Electronic Ticketing for Public Transport</t>
  </si>
  <si>
    <t>Puneet Chopra and Pushkar Raj</t>
  </si>
  <si>
    <t>Will Mobile Network Operators Make It As Payments Banks?</t>
  </si>
  <si>
    <t> EconomicTimes</t>
  </si>
  <si>
    <t>The Ebb and Flow of Customer-Centricity in Financial Inclusion Part 3 – What Happened and Where Are We Today?</t>
  </si>
  <si>
    <t>Center for Financial Inclusion</t>
  </si>
  <si>
    <t>Graham Wright and Evelyn Stark</t>
  </si>
  <si>
    <t>The Ebb &amp; Flow of Customer-Centricity in Financial Inclusion Part 2 – Beyond the Basics</t>
  </si>
  <si>
    <t>The Ebb &amp; Flow of Customer-Centricity in Financial Inclusion Part 1 – Why Being Customer-Centric is a Supply Side Strategy</t>
  </si>
  <si>
    <t>What’s Undermining India’s Financial Inclusion Progress?</t>
  </si>
  <si>
    <t>Pawan Bakshi, Graham Wright and Manoj Sharma</t>
  </si>
  <si>
    <t>Should Microfinance Go Digital?</t>
  </si>
  <si>
    <t>Month of Microfinance</t>
  </si>
  <si>
    <t>Nitish Narain and Sonal Agrawal</t>
  </si>
  <si>
    <t>Can India achieve financial inclusion without the mobile network operators?</t>
  </si>
  <si>
    <t>GSMA </t>
  </si>
  <si>
    <t>Media releases published under blogs</t>
  </si>
  <si>
    <t>Are the $2 Billion Annual Savings Arising from PAHAL Real?</t>
  </si>
  <si>
    <t>Lokesh Singh, Mukesh Sadana and Manoj Sharma</t>
  </si>
  <si>
    <t>Bridging financial inclusion for women with disabilities in Indonesia</t>
  </si>
  <si>
    <t>Magdalene.co</t>
  </si>
  <si>
    <t>Rosalinda Birdinia Rudangta</t>
  </si>
  <si>
    <t>A long road to financial inclusion for low-income people with disabilities in Indonesia</t>
  </si>
  <si>
    <t>Inside Indonesia</t>
  </si>
  <si>
    <t>Jilan Jauhara</t>
  </si>
  <si>
    <t>From Ration Shops to Nutrition Hubs: A Nutritional Revolution in the Making</t>
  </si>
  <si>
    <t>Krishi Jagran website</t>
  </si>
  <si>
    <t>Dr. Puneet Khanduja and Abhishek Jain</t>
  </si>
  <si>
    <t>Five Recommendations to Address Insurance Mis-selling: Rural customers in India face information asymmetry, high premiums and poor returns</t>
  </si>
  <si>
    <t>Sukhpreet Kaur and Arshi Aadil</t>
  </si>
  <si>
    <t>Why women’s savings don’t translate into credit</t>
  </si>
  <si>
    <t>Sonal Jaitly and Ankita Bhat</t>
  </si>
  <si>
    <t>Bridging the digital divide by enhancing effective digital finance usage among the poor: An RCT project | Part 2</t>
  </si>
  <si>
    <t>Griffith University website </t>
  </si>
  <si>
    <t>Mayank Sharma and Shawn Hunter</t>
  </si>
  <si>
    <t>Facilitating cottage, micro, small, and medium enterprises during the pandemic</t>
  </si>
  <si>
    <t>Anik Muntasir Chowdhury and Akhand Tiwari</t>
  </si>
  <si>
    <t>A Silver Lining During the Pandemic: Three Financial Inclusion Success Stories in the Age of COVID-19</t>
  </si>
  <si>
    <t>Gender: The blind spot of the COVID-19 response in low- and middle-income countries</t>
  </si>
  <si>
    <t>Aakash Mehrotra, Rahul Chatterjee, Saloni Tandon and Sonal Agrawal</t>
  </si>
  <si>
    <t>Full, yet undernourished? How India can move from food security to nutrition security</t>
  </si>
  <si>
    <t>Mitul Thapliyal, Dr. Puneet Khanduja and Neha Parakh</t>
  </si>
  <si>
    <t>The Aadhaar way</t>
  </si>
  <si>
    <t xml:space="preserve">Not Found </t>
  </si>
  <si>
    <t>OneWorld South Asia</t>
  </si>
  <si>
    <t>Amir Syed</t>
  </si>
  <si>
    <t>Addressing the Soil Health Crisis in India</t>
  </si>
  <si>
    <t>Akhand Tiwari and Abhishek Gupta</t>
  </si>
  <si>
    <t>Harnessing the potential of Aadhaar via digitisation</t>
  </si>
  <si>
    <t>The Aadhaar story in East Godavari</t>
  </si>
  <si>
    <t>IBN LIVE</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</si>
  <si>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</si>
  <si>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</si>
  <si>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</si>
  <si>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</si>
  <si>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</si>
  <si>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</si>
  <si>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</si>
  <si>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</si>
  <si>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</si>
  <si>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</si>
  <si>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</si>
  <si>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</si>
  <si>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</si>
  <si>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</si>
  <si>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</si>
  <si>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</si>
  <si>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</si>
  <si>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</si>
  <si>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</si>
  <si>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</si>
  <si>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</si>
  <si>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</si>
  <si>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</si>
  <si>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</si>
  <si>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</si>
  <si>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</si>
  <si>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</si>
  <si>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</si>
  <si>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</si>
  <si>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</si>
  <si>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</si>
  <si>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</si>
  <si>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</si>
  <si>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</si>
  <si>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</si>
  <si>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</si>
  <si>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http://ibnlive.in.com/group-blog/the-india-blog/3588/the-aadhaar-story-in-east-godavari/64645.html</t>
  </si>
  <si>
    <t xml:space="preserve">Mobile Phones and Money: Less Technology at a Much Lower Cost
</t>
  </si>
  <si>
    <t>Mukesh Sadana</t>
  </si>
  <si>
    <t>Solving Indonesia’s Sanitation Woes</t>
  </si>
  <si>
    <t>TVS Ravi</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</si>
  <si>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</si>
  <si>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</si>
  <si>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</si>
  <si>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</si>
  <si>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</si>
  <si>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</si>
  <si>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</si>
  <si>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</si>
  <si>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</si>
  <si>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</si>
  <si>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</si>
  <si>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</si>
  <si>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</si>
  <si>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</si>
  <si>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</si>
  <si>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</si>
  <si>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</si>
  <si>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</si>
  <si>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</si>
  <si>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</si>
  <si>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</si>
  <si>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</si>
  <si>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</si>
  <si>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</si>
  <si>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</si>
  <si>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</si>
  <si>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</si>
  <si>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</si>
  <si>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</si>
  <si>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</si>
  <si>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</si>
  <si>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</si>
  <si>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</si>
  <si>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</si>
  <si>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</si>
  <si>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</si>
  <si>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</si>
  <si>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</si>
  <si>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</si>
  <si>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</si>
  <si>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</si>
  <si>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</si>
  <si>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</si>
  <si>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</si>
  <si>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</si>
  <si>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</si>
  <si>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</si>
  <si>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</si>
  <si>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</si>
  <si>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</si>
  <si>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</si>
  <si>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</si>
  <si>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</si>
  <si>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</si>
  <si>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</si>
  <si>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</si>
  <si>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</si>
  <si>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</si>
  <si>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</si>
  <si>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</si>
  <si>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</si>
  <si>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</si>
  <si>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</si>
  <si>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</si>
  <si>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</si>
  <si>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</si>
  <si>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</si>
  <si>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</si>
  <si>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</si>
  <si>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</si>
  <si>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</si>
  <si>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</si>
  <si>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</si>
  <si>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</si>
  <si>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</si>
  <si>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</si>
  <si>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</si>
  <si>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</si>
  <si>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</si>
  <si>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</si>
  <si>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</si>
  <si>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</si>
  <si>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</si>
  <si>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</si>
  <si>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</si>
  <si>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</si>
  <si>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</si>
  <si>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</si>
  <si>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</si>
  <si>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</si>
  <si>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</si>
  <si>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</si>
  <si>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</si>
  <si>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</si>
  <si>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</si>
  <si>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</si>
  <si>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</si>
  <si>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</si>
  <si>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</si>
  <si>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</si>
  <si>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</si>
  <si>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</si>
  <si>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</si>
  <si>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</si>
  <si>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</si>
  <si>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</si>
  <si>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</si>
  <si>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</si>
  <si>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</si>
  <si>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</si>
  <si>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</si>
  <si>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</si>
  <si>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</si>
  <si>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</si>
  <si>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</si>
  <si>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Two More Revolutions Underway in Kenya</t>
  </si>
  <si>
    <t xml:space="preserve">Can “Behavioural Science” Bell Scheme Design Cat? 
Insights from Exploratory Research on the Public Distribution System in India
</t>
  </si>
  <si>
    <t>Lokesh Kumar and Ankush Khanna</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</si>
  <si>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</si>
  <si>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</si>
  <si>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</si>
  <si>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</si>
  <si>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</si>
  <si>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</si>
  <si>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</si>
  <si>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</si>
  <si>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</si>
  <si>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</si>
  <si>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</si>
  <si>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</si>
  <si>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</si>
  <si>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</si>
  <si>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</si>
  <si>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Designing an Effective User Interface for USSD: Part2</t>
  </si>
  <si>
    <t>Small Finance Banks – Are You Ready? The Opportunities and Challenges</t>
  </si>
  <si>
    <t>Nitish Narain, Raj Kumar and Nitin Malik</t>
  </si>
  <si>
    <t>Digital Financial Inclusion In India – A Long Road To Take-Off?</t>
  </si>
  <si>
    <t>Reducing Friction To Succeed</t>
  </si>
  <si>
    <t>Training, Monitoring &amp; Support – Necessary Or An Opportunity To Cut Costs?</t>
  </si>
  <si>
    <t>Lokesh Kumar, Mukesh Sadana and Manoj Sharma</t>
  </si>
  <si>
    <t>Making Digital Money More Relevant, More Often – Part 1</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</si>
  <si>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</si>
  <si>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</si>
  <si>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</si>
  <si>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</si>
  <si>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</si>
  <si>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</si>
  <si>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</si>
  <si>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</si>
  <si>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</si>
  <si>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</si>
  <si>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</si>
  <si>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</si>
  <si>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</si>
  <si>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The Ebb and Flow of Customer-Centricity in Financial Inclusion Part 2 – Beyond the Basics</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</si>
  <si>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</si>
  <si>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</si>
  <si>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</si>
  <si>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</si>
  <si>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</si>
  <si>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</si>
  <si>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</si>
  <si>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</si>
  <si>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</si>
  <si>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</si>
  <si>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</si>
  <si>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</si>
  <si>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</si>
  <si>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</si>
  <si>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</si>
  <si>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</si>
  <si>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</si>
  <si>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</si>
  <si>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</si>
  <si>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</si>
  <si>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</si>
  <si>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</si>
  <si>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</si>
  <si>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</si>
  <si>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</si>
  <si>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</si>
  <si>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</si>
  <si>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</si>
  <si>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</si>
  <si>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</si>
  <si>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</si>
  <si>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</si>
  <si>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</si>
  <si>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</si>
  <si>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Offline Payment Acceptance: A Puzzle and an Opportunity</t>
  </si>
  <si>
    <t>Anil Gupta and Manoj Sharma</t>
  </si>
  <si>
    <t>Open Application Programming Interfaces (API): Purpose and Possibilities</t>
  </si>
  <si>
    <t>Can Payments Banks Survive?</t>
  </si>
  <si>
    <t>Leveraging Fintech to Achieve Financial Inclusion in Indonesia</t>
  </si>
  <si>
    <t>Ghiyazuddin Mohammad and John Owens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</si>
  <si>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</si>
  <si>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</si>
  <si>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</si>
  <si>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</si>
  <si>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</si>
  <si>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</si>
  <si>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</si>
  <si>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</si>
  <si>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</si>
  <si>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</si>
  <si>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</si>
  <si>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</si>
  <si>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</si>
  <si>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</si>
  <si>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</si>
  <si>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</si>
  <si>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</si>
  <si>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</si>
  <si>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</si>
  <si>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</si>
  <si>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Akhand and Abhishek Gupta</t>
  </si>
  <si>
    <t>Digital Credit – Have We Not Been Here Before With Microfinance?</t>
  </si>
  <si>
    <t>Setting Digital Credit Right – Is it Time For a Major Re-think?</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</si>
  <si>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</si>
  <si>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</si>
  <si>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</si>
  <si>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</si>
  <si>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</si>
  <si>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Nancy Kiarie and Vera Bersudskaya</t>
  </si>
  <si>
    <t>More Than Hygiene – Improving Agent Network Performance to Maximise Profitability</t>
  </si>
  <si>
    <t>Graham Wright and Vera Bersudskaya</t>
  </si>
  <si>
    <t>Liquidity – Solving Agents’ Perennial Problem</t>
  </si>
  <si>
    <t>Nancy Kiarie and Graham Wright</t>
  </si>
  <si>
    <t>A Strategic Approach for Next-Generation DFS Agent Networks</t>
  </si>
  <si>
    <t>Interoperability – A Regulatory Perspective</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</si>
  <si>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</si>
  <si>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</si>
  <si>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</si>
  <si>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</si>
  <si>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</si>
  <si>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</si>
  <si>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</si>
  <si>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</si>
  <si>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</si>
  <si>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</si>
  <si>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</si>
  <si>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</si>
  <si>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</si>
  <si>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</si>
  <si>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</si>
  <si>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</si>
  <si>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</si>
  <si>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</si>
  <si>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</si>
  <si>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</si>
  <si>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</si>
  <si>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</si>
  <si>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</si>
  <si>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</si>
  <si>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</si>
  <si>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</si>
  <si>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</si>
  <si>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</si>
  <si>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</si>
  <si>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</si>
  <si>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</si>
  <si>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</si>
  <si>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</si>
  <si>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</si>
  <si>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</si>
  <si>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</si>
  <si>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</si>
  <si>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</si>
  <si>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</si>
  <si>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</si>
  <si>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</si>
  <si>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</si>
  <si>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</si>
  <si>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</si>
  <si>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</si>
  <si>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</si>
  <si>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</si>
  <si>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</si>
  <si>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</si>
  <si>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</si>
  <si>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</si>
  <si>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</si>
  <si>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</si>
  <si>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</si>
  <si>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</si>
  <si>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</si>
  <si>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</si>
  <si>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</si>
  <si>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</si>
  <si>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</si>
  <si>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</si>
  <si>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</si>
  <si>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</si>
  <si>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</si>
  <si>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</si>
  <si>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</si>
  <si>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</si>
  <si>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</si>
  <si>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</si>
  <si>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</si>
  <si>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</si>
  <si>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</si>
  <si>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</si>
  <si>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</si>
  <si>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</si>
  <si>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</si>
  <si>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</si>
  <si>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</si>
  <si>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</si>
  <si>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</si>
  <si>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</si>
  <si>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</si>
  <si>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</si>
  <si>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</si>
  <si>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</si>
  <si>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</si>
  <si>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</si>
  <si>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</si>
  <si>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</si>
  <si>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</si>
  <si>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</si>
  <si>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</si>
  <si>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</si>
  <si>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</si>
  <si>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</si>
  <si>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</si>
  <si>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</si>
  <si>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</si>
  <si>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</si>
  <si>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</si>
  <si>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Anshul Saxena, Anil Gupta, Sunil Bhat and Meenal Malik</t>
  </si>
  <si>
    <t>Bridge2Capital: Instant supplier credit in three clicks</t>
  </si>
  <si>
    <t>Maansi Sharda, Anil Gupta and Anshul Saxena</t>
  </si>
  <si>
    <t>Wonderlend Hubs (WLH): Alternate route to credit history</t>
  </si>
  <si>
    <t>Disha Bhavnani, Anil Gupta and Anshul Saxena</t>
  </si>
  <si>
    <t>Jai Kisan: Farmer’s gateway to quality financial services</t>
  </si>
  <si>
    <t>Sharad Bangari, Anil Gupta and Anshul Saxena</t>
  </si>
  <si>
    <t>Boot camp experiences for start-ups: Cheaper by the dozen</t>
  </si>
  <si>
    <t>Sunil Bhat, Anil Gupta, Sandeep Koujalgi and Priyanka Chopra</t>
  </si>
  <si>
    <t>Why does research matter in human-centered design</t>
  </si>
  <si>
    <t>Akhand Tiwari, Graham A.N Wright and Mimansa Khanna</t>
  </si>
  <si>
    <t>Is there room for optimism in the Kenyan digital credit sector?</t>
  </si>
  <si>
    <t>Olivia Obiero and Wanjiku Kiarie</t>
  </si>
  <si>
    <t>Where are the women in the digital credit bandwagon? Lessons from Kenya</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</si>
  <si>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</si>
  <si>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</si>
  <si>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</si>
  <si>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</si>
  <si>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</si>
  <si>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</si>
  <si>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</si>
  <si>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</si>
  <si>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</si>
  <si>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</si>
  <si>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</si>
  <si>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</si>
  <si>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</si>
  <si>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</si>
  <si>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</si>
  <si>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</si>
  <si>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</si>
  <si>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</si>
  <si>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</si>
  <si>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</si>
  <si>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</si>
  <si>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</si>
  <si>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</si>
  <si>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</si>
  <si>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</si>
  <si>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</si>
  <si>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</si>
  <si>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</si>
  <si>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</si>
  <si>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</si>
  <si>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</si>
  <si>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</si>
  <si>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</si>
  <si>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</si>
  <si>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Akhand Tiwari and Jakirul Islam</t>
  </si>
  <si>
    <t>GUVI: Bridging the language divide in learning technical skills</t>
  </si>
  <si>
    <t>Maansi Sharda, Karishma Pradhan, Anshul Saxena and Anil Gupta</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</si>
  <si>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</si>
  <si>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</si>
  <si>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</si>
  <si>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</si>
  <si>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</si>
  <si>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</si>
  <si>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</si>
  <si>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</si>
  <si>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</si>
  <si>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</si>
  <si>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</si>
  <si>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</si>
  <si>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</si>
  <si>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</si>
  <si>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</si>
  <si>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</si>
  <si>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</si>
  <si>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</si>
  <si>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Mitul Thapliyal and Abhishek Jain</t>
  </si>
  <si>
    <t>COVID-19: Impacted yet proactive youth response to the crisis through innovation</t>
  </si>
  <si>
    <t>Rebecca Szantry and Kate Okoue</t>
  </si>
  <si>
    <t>Akshat Pathak, Anshul Saxena, Sunil Bhat and Anil Gupta</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</si>
  <si>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</si>
  <si>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</si>
  <si>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</si>
  <si>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</si>
  <si>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</si>
  <si>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</si>
  <si>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</si>
  <si>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</si>
  <si>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</si>
  <si>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</si>
  <si>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</si>
  <si>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</si>
  <si>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</si>
  <si>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</si>
  <si>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</si>
  <si>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</si>
  <si>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</si>
  <si>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</si>
  <si>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</si>
  <si>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</si>
  <si>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</si>
  <si>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</si>
  <si>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</si>
  <si>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</si>
  <si>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</si>
  <si>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</si>
  <si>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</si>
  <si>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</si>
  <si>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</si>
  <si>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</si>
  <si>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</si>
  <si>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</si>
  <si>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</si>
  <si>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</si>
  <si>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</si>
  <si>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</si>
  <si>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</si>
  <si>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</si>
  <si>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</si>
  <si>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</si>
  <si>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</si>
  <si>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</si>
  <si>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</si>
  <si>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</si>
  <si>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</si>
  <si>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</si>
  <si>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</si>
  <si>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</si>
  <si>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</si>
  <si>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</si>
  <si>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</si>
  <si>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</si>
  <si>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</si>
  <si>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</si>
  <si>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</si>
  <si>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</si>
  <si>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</si>
  <si>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</si>
  <si>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</si>
  <si>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</si>
  <si>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</si>
  <si>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</si>
  <si>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</si>
  <si>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</si>
  <si>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Abhishek Gupta and Akhand Tiwari</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</si>
  <si>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</si>
  <si>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</si>
  <si>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</si>
  <si>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</si>
  <si>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</si>
  <si>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</si>
  <si>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</si>
  <si>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</si>
  <si>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</si>
  <si>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</si>
  <si>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</si>
  <si>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</si>
  <si>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</si>
  <si>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</si>
  <si>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</si>
  <si>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</si>
  <si>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</si>
  <si>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</si>
  <si>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</si>
  <si>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Samveet Sahoo, Avi Hossain and Khandaker Shaoli Hassan</t>
  </si>
  <si>
    <t>Akhand Tiwari and Moinuddin Mohammed</t>
  </si>
  <si>
    <t>Growing a microenterprise through social commerce and digital payments</t>
  </si>
  <si>
    <t>Akshat Pathak and Truong Quyen</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</si>
  <si>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</si>
  <si>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</si>
  <si>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</si>
  <si>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</si>
  <si>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</si>
  <si>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Reimagining the Indian government’s telemedicine platform</t>
  </si>
  <si>
    <t>by Dr. Puneet Khanduja, Venkat Goli and Suhird Singh</t>
  </si>
  <si>
    <t>The Corner Shop Diaries project: How small businesses in developing countries coped with the pandemic, helped the neighborhood to survive the lockdown, and embarked on the challenging journey to recovery</t>
  </si>
  <si>
    <t>by Graham Wright, Rahul Chatterjee, Raunak Kapoor and Anne Marie van Swinderen</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</si>
  <si>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</si>
  <si>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</si>
  <si>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</si>
  <si>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</si>
  <si>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</si>
  <si>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</si>
  <si>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Can the often-criticized P2P FinTech platforms in Indonesia solve the lack of diversity in MSME loan programs?</t>
  </si>
  <si>
    <t>by Astri Sri Sulastri, Ira Aprilianti, Raunak Kapoor and Sheila Carina</t>
  </si>
  <si>
    <t>Addressing three key issues of BC agents in India for COVID-like challenges</t>
  </si>
  <si>
    <t>Sunil Bhat, Sharad Bangari, Anil Gupta and Pritam Patro</t>
  </si>
  <si>
    <t>Policy shifts to bolster India’s frontline healthcare workers</t>
  </si>
  <si>
    <t>Puneet Khanduja, Prairna Koul and Mitul Thapliyal</t>
  </si>
  <si>
    <t>Digital ID in the time of COVID-19 in India</t>
  </si>
  <si>
    <t>Mitul Thapliyal, Venkat Goli, Saborni Poddar and Sneha Sampath</t>
  </si>
  <si>
    <t>Puneet Khanduja, Venkat Goli and Suhird Singh</t>
  </si>
  <si>
    <t>NFHS 5 calls for urgent action on child nutrition in India</t>
  </si>
  <si>
    <t>Aakash Mehrotra, Puneet Khanduja, Monica Dutta and Palak Khanna</t>
  </si>
  <si>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</si>
  <si>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</si>
  <si>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</si>
  <si>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</si>
  <si>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Use of electronic vouchers to distribute relief part 1</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</si>
  <si>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</si>
  <si>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</si>
  <si>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</si>
  <si>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</si>
  <si>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</si>
  <si>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</si>
  <si>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</si>
  <si>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</si>
  <si>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</si>
  <si>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</si>
  <si>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</si>
  <si>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</si>
  <si>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</si>
  <si>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</si>
  <si>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</si>
  <si>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</si>
  <si>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</si>
  <si>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</si>
  <si>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</si>
  <si>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</si>
  <si>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</si>
  <si>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</si>
  <si>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</si>
  <si>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</si>
  <si>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</si>
  <si>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</si>
  <si>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</si>
  <si>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</si>
  <si>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</si>
  <si>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</si>
  <si>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</si>
  <si>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</si>
  <si>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</si>
  <si>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</si>
  <si>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</si>
  <si>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</si>
  <si>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</si>
  <si>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</si>
  <si>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</si>
  <si>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</si>
  <si>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</si>
  <si>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</si>
  <si>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</si>
  <si>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</si>
  <si>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</si>
  <si>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</si>
  <si>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</si>
  <si>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</si>
  <si>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</si>
  <si>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</si>
  <si>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</si>
  <si>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</si>
  <si>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</si>
  <si>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</si>
  <si>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</si>
  <si>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</si>
  <si>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</si>
  <si>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</si>
  <si>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</si>
  <si>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</si>
  <si>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</si>
  <si>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</si>
  <si>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</si>
  <si>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</si>
  <si>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</si>
  <si>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</si>
  <si>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</si>
  <si>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</si>
  <si>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</si>
  <si>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</si>
  <si>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</si>
  <si>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</si>
  <si>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</si>
  <si>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</si>
  <si>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</si>
  <si>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</si>
  <si>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</si>
  <si>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</si>
  <si>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</si>
  <si>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</si>
  <si>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</si>
  <si>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</si>
  <si>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</si>
  <si>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</si>
  <si>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</si>
  <si>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</si>
  <si>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</si>
  <si>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</si>
  <si>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</si>
  <si>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</si>
  <si>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</si>
  <si>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</si>
  <si>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</si>
  <si>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</si>
  <si>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</si>
  <si>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</si>
  <si>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</si>
  <si>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</si>
  <si>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</si>
  <si>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</si>
  <si>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</si>
  <si>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</si>
  <si>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</si>
  <si>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</si>
  <si>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</si>
  <si>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</si>
  <si>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</si>
  <si>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</si>
  <si>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</si>
  <si>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</si>
  <si>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</si>
  <si>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</si>
  <si>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</si>
  <si>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</si>
  <si>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</si>
  <si>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</si>
  <si>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</si>
  <si>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</si>
  <si>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</si>
  <si>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</si>
  <si>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</si>
  <si>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</si>
  <si>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</si>
  <si>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</si>
  <si>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</si>
  <si>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</si>
  <si>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Do young entrepreneurs need new skills in a rapidly evolving digital world?</t>
  </si>
  <si>
    <t>Ritika Sah and Rocky Milingita</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</si>
  <si>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</si>
  <si>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</si>
  <si>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</si>
  <si>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</si>
  <si>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</si>
  <si>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</si>
  <si>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</si>
  <si>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</si>
  <si>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</si>
  <si>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</si>
  <si>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</si>
  <si>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</si>
  <si>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</si>
  <si>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</si>
  <si>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</si>
  <si>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</si>
  <si>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</si>
  <si>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</si>
  <si>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</si>
  <si>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</si>
  <si>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</si>
  <si>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</si>
  <si>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</si>
  <si>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</si>
  <si>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</si>
  <si>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</si>
  <si>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</si>
  <si>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</si>
  <si>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</si>
  <si>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</si>
  <si>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</si>
  <si>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</si>
  <si>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</si>
  <si>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</si>
  <si>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</si>
  <si>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</si>
  <si>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</si>
  <si>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</si>
  <si>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</si>
  <si>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</si>
  <si>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</si>
  <si>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</si>
  <si>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</si>
  <si>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</si>
  <si>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</si>
  <si>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</si>
  <si>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</si>
  <si>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</si>
  <si>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</si>
  <si>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</si>
  <si>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</si>
  <si>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</si>
  <si>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</si>
  <si>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</si>
  <si>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</si>
  <si>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</si>
  <si>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</si>
  <si>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</si>
  <si>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</si>
  <si>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</si>
  <si>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</si>
  <si>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</si>
  <si>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</si>
  <si>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</si>
  <si>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</si>
  <si>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</si>
  <si>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</si>
  <si>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</si>
  <si>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</si>
  <si>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</si>
  <si>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</si>
  <si>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</si>
  <si>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</si>
  <si>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</si>
  <si>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</si>
  <si>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</si>
  <si>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</si>
  <si>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</si>
  <si>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</si>
  <si>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</si>
  <si>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</si>
  <si>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</si>
  <si>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</si>
  <si>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</si>
  <si>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</si>
  <si>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</si>
  <si>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</si>
  <si>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</si>
  <si>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</si>
  <si>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</si>
  <si>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</si>
  <si>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</si>
  <si>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</si>
  <si>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</si>
  <si>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</si>
  <si>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</si>
  <si>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</si>
  <si>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</si>
  <si>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</si>
  <si>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</si>
  <si>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</si>
  <si>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</si>
  <si>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</si>
  <si>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</si>
  <si>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</si>
  <si>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</si>
  <si>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</si>
  <si>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</si>
  <si>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</si>
  <si>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</si>
  <si>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</si>
  <si>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</si>
  <si>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</si>
  <si>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</si>
  <si>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</si>
  <si>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</si>
  <si>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</si>
  <si>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</si>
  <si>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</si>
  <si>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</si>
  <si>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</si>
  <si>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</si>
  <si>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</si>
  <si>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</si>
  <si>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</si>
  <si>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</si>
  <si>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</si>
  <si>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</si>
  <si>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</si>
  <si>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</si>
  <si>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</si>
  <si>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</si>
  <si>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</si>
  <si>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</si>
  <si>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</si>
  <si>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</si>
  <si>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</si>
  <si>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</si>
  <si>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</si>
  <si>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</si>
  <si>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</si>
  <si>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</si>
  <si>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</si>
  <si>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</si>
  <si>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</si>
  <si>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</si>
  <si>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</si>
  <si>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</si>
  <si>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</si>
  <si>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</si>
  <si>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</si>
  <si>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</si>
  <si>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</si>
  <si>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</si>
  <si>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</si>
  <si>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</si>
  <si>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</si>
  <si>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</si>
  <si>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</si>
  <si>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</si>
  <si>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</si>
  <si>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</si>
  <si>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</si>
  <si>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</si>
  <si>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</si>
  <si>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</si>
  <si>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</si>
  <si>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</si>
  <si>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</si>
  <si>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</si>
  <si>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</si>
  <si>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</si>
  <si>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</si>
  <si>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</si>
  <si>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</si>
  <si>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</si>
  <si>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</si>
  <si>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</si>
  <si>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</si>
  <si>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</si>
  <si>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</si>
  <si>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</si>
  <si>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</si>
  <si>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</si>
  <si>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</si>
  <si>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</si>
  <si>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</si>
  <si>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</si>
  <si>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</si>
  <si>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</si>
  <si>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</si>
  <si>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</si>
  <si>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</si>
  <si>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</si>
  <si>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</si>
  <si>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</si>
  <si>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</si>
  <si>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</si>
  <si>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</si>
  <si>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</si>
  <si>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</si>
  <si>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</si>
  <si>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</si>
  <si>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</si>
  <si>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</si>
  <si>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</si>
  <si>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</si>
  <si>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</si>
  <si>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</si>
  <si>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</si>
  <si>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</si>
  <si>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</si>
  <si>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</si>
  <si>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</si>
  <si>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</si>
  <si>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</si>
  <si>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</si>
  <si>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</si>
  <si>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</si>
  <si>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</si>
  <si>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</si>
  <si>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</si>
  <si>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</si>
  <si>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</si>
  <si>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</si>
  <si>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</si>
  <si>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</si>
  <si>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</si>
  <si>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</si>
  <si>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</si>
  <si>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</si>
  <si>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</si>
  <si>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</si>
  <si>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</si>
  <si>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</si>
  <si>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</si>
  <si>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</si>
  <si>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</si>
  <si>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</si>
  <si>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</si>
  <si>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</si>
  <si>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</si>
  <si>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</si>
  <si>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</si>
  <si>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</si>
  <si>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</si>
  <si>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</si>
  <si>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</si>
  <si>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</si>
  <si>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</si>
  <si>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</si>
  <si>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</si>
  <si>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</si>
  <si>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</si>
  <si>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</si>
  <si>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</si>
  <si>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</si>
  <si>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</si>
  <si>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</si>
  <si>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</si>
  <si>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</si>
  <si>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</si>
  <si>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</si>
  <si>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Puneet Khanduja and Abhishek Jain</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</si>
  <si>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</si>
  <si>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</si>
  <si>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</si>
  <si>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</si>
  <si>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</si>
  <si>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</si>
  <si>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</si>
  <si>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</si>
  <si>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</si>
  <si>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</si>
  <si>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</si>
  <si>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</si>
  <si>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</si>
  <si>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</si>
  <si>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</si>
  <si>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</si>
  <si>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</si>
  <si>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</si>
  <si>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</si>
  <si>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</si>
  <si>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</si>
  <si>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</si>
  <si>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</si>
  <si>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</si>
  <si>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</si>
  <si>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Digital convenience: New ways for India’s MFI borrowers to repay loans</t>
  </si>
  <si>
    <t>Vivek Anand, Pramiti Lonkar, David Mathew and Disha Bhavnani</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</si>
  <si>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</si>
  <si>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</si>
  <si>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</si>
  <si>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</si>
  <si>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</si>
  <si>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</si>
  <si>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</si>
  <si>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</si>
  <si>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</si>
  <si>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</si>
  <si>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</si>
  <si>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</si>
  <si>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</si>
  <si>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</si>
  <si>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</si>
  <si>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</si>
  <si>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</si>
  <si>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Rosalinda Birdinia Rudangta, Sonal Jaitly and Rahul Ganguly</t>
  </si>
  <si>
    <t>Unlocking financial resilience: How MFIs can solve the climate disaster in Bangladesh’s farm economy</t>
  </si>
  <si>
    <t>Shahrukh Ahmed Latif and Samveet Sahoo</t>
  </si>
  <si>
    <t>Can design reforms improve the adoption of the Soil Health Card among India’s farmers?</t>
  </si>
  <si>
    <t>Akshit Saini and Sushma Kaw</t>
  </si>
  <si>
    <t>How we can tackle dark patterns in India’s digital economy</t>
  </si>
  <si>
    <t>Surbhi Sood, Priyal Advani and Srinivas Balakrishnan</t>
  </si>
  <si>
    <t>A USD-1.5 trillion opportunity: Inclusive finance for climate adaptation</t>
  </si>
  <si>
    <t>Graham Wright, Vikash Kumar Sinha and Akhand Tiwari</t>
  </si>
  <si>
    <t>From prayers to power: Scaling climate-smart agriculture through inclusive finance</t>
  </si>
  <si>
    <t>Srilasya Nookala, Vikash Kumar Sinha and Anant Jayant Natu</t>
  </si>
  <si>
    <t>Resilience at the water’s edge: Lessons from deploying the locally led adaptation (LLA) for Inclusive financial service providers (IFSPs) toolkit in Varanasi</t>
  </si>
  <si>
    <t>Graham Wright, Aarjan Dixit, Sakshi Bansal and Manoj Yadav</t>
  </si>
  <si>
    <t>Driving Women’s Empowerment and the Economy, One Chat at a Time</t>
  </si>
  <si>
    <t>Bianda Kanani and Putu Monica Christy</t>
  </si>
  <si>
    <t>How locally-led adaptation can make the inherent resilience of MSMEs in Uganda’s cattle corridor bankable</t>
  </si>
  <si>
    <t>Mandira Sharma, James Onyutta, Graham Wright and Pranav Singh</t>
  </si>
  <si>
    <t>SupTech starts with data: Building strong and flexible data foundations</t>
  </si>
  <si>
    <t>Ayushi Misra, Debarshi Chakraborty, Kenneth Rudy Gomes and Duenna Dsouza</t>
  </si>
  <si>
    <t>How digital tax reforms can transform Nigeria’s revenue challenges into fiscal successes</t>
  </si>
  <si>
    <t>Karminder Malhotra, Vikram Sharma, Ritesh Rautela and Diganta Nayak</t>
  </si>
  <si>
    <t>From data to SupTech: A phased approach for smarter regulatory transformation</t>
  </si>
  <si>
    <t>How women dairy farmers in Bihar are building fairer and stronger markets through collective action</t>
  </si>
  <si>
    <t>Shobhit Mishra and Sukhpreet Kaur</t>
  </si>
  <si>
    <t>AgriStack: A DPI approach to transform Indian agriculture</t>
  </si>
  <si>
    <t>Vikram Sharma, Diganta Nayak and Kushagra Harshavardhan</t>
  </si>
  <si>
    <t>The building blocks of AgriStack – State farmer registry</t>
  </si>
  <si>
    <t>Diganta Nayak, Kushagra Harshavardhan and Vikram Sharma</t>
  </si>
  <si>
    <t>From reactive coping to adaptive resilience amid climate change</t>
  </si>
  <si>
    <t>Shahrukh Ahmed Latif, Farmina Hossain and Graham Wright</t>
  </si>
  <si>
    <t>How Bangladesh can shift from reaction to resilience in climate finance for vulnerable communities</t>
  </si>
  <si>
    <t>Repurpose. Rejig. Reinvent: The product shift needed to unlock adaptation finance now</t>
  </si>
  <si>
    <t>Graham Wright, Akhand Tiwari, Srilasya Nookala and Vikash Kumar Sinha</t>
  </si>
  <si>
    <t>Building blocks of AgriStack – Farm (Geo-referenced village maps) registry</t>
  </si>
  <si>
    <t>Building blocks of AgriStack – Crop sown registry</t>
  </si>
  <si>
    <t>Allina Tiwari, Diganta Nayak, Kushagra Harshavardhan and Vikram Sharma</t>
  </si>
  <si>
    <t>Part 1: Advancing financial inclusion for climate-displaced persons in Sub-Saharan Africa</t>
  </si>
  <si>
    <t>Gregory Ilukwe, Brenda Oyugi and Violet Njeri Kamau</t>
  </si>
  <si>
    <t>Part 2: Moving climate-displaced persons to financial self-reliance</t>
  </si>
  <si>
    <t>How development partners can enable an inclusive multi-bureau future</t>
  </si>
  <si>
    <t>Alvina Zafar, Sunil Bhat, Samveet Sahoo and Zaki Haider</t>
  </si>
  <si>
    <t>Performance over assets in Bangladesh’s credit reform</t>
  </si>
  <si>
    <t>Alvina Zafar, Abdullah Al-Rafi and Zaki Haider</t>
  </si>
  <si>
    <t>Connecting innovation, institutions, and the missing middle: Insights from the 2025 Nobel for building labs and market creation</t>
  </si>
  <si>
    <t>Why school sanitation in Odisha deserves our urgent attention</t>
  </si>
  <si>
    <t>Swadesh Sritam Das, Mansi Sharma, Diganta Nayak, Kamal Chhabra and Kruthi Onteddu</t>
  </si>
  <si>
    <t>Inside the innovation lab: How institutions can learn, adapt, and scale like startups</t>
  </si>
  <si>
    <t>Will AI take over public policy in India?</t>
  </si>
  <si>
    <t xml:space="preserve">Reimagining grievance and redress mechanisms to fix the weakest link for India’s financial consumers
</t>
  </si>
  <si>
    <t>Abhishek Katariya, Saloni Gupta and Surbhi Sood</t>
  </si>
  <si>
    <t>Gender-Intelligent banking is the key to unlock Kenya's untapped market - MicroSave Consulting (MSC)</t>
  </si>
  <si>
    <t> Elizabeth Gathu and Saumya Jain</t>
  </si>
  <si>
    <t>Reaching the unreached: Strengthening last-mile delivery for particularly vulnerable tribal groups (PVTGs) - MicroSave Consulting (MSC)</t>
  </si>
  <si>
    <t> Mimansa Khanna, Saloni Gupta, Sushma Kaw and Vivek Anand</t>
  </si>
  <si>
    <t>The intelligent use of AI and data science in the lifecycle of national identity systems - MicroSave Consulting (MSC)</t>
  </si>
  <si>
    <t> Swastik Das and Mohak Srivastava</t>
  </si>
  <si>
    <t>Scaling trust: A transaction-level observability framework for national ID programs - MicroSave Consulting (MSC)</t>
  </si>
  <si>
    <t>Debarshi Chakraborty, Swastik Das, Mohak Srivastava and Rahul Gupta</t>
  </si>
  <si>
    <t>Building India's climate stack - why agriculture comes first - MicroSave Consulting (MSC)</t>
  </si>
  <si>
    <t>Allina Tiwari, Kushagra Harshavardhan, Ritesh Rautela and Vikram Sharma</t>
  </si>
  <si>
    <t>Integrating climate into India’s digital agriculture solutions: The case for a climate-resilient agricultural system (CRAS) - MicroSave Consulting (MSC)</t>
  </si>
  <si>
    <t>Allina Tiwari, Diganta Nayak, Vikram Sharma and Kushagra Harshavardhan</t>
  </si>
  <si>
    <t>The missing half of digital health: Exploring pathways for AI to scale in LMIC health systems - MicroSave Consulting (MSC)</t>
  </si>
  <si>
    <t>Anirooddha Mukherjee, Boijayanti Sarker and Dr. Puneet Khanduja</t>
  </si>
  <si>
    <t>S. No.</t>
  </si>
  <si>
    <t>Video Name Uploaded</t>
  </si>
  <si>
    <t>Source</t>
  </si>
  <si>
    <t>Speaker</t>
  </si>
  <si>
    <t>Microfinance in Bangladesh: Grameen Bank</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</si>
  <si>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</si>
  <si>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</si>
  <si>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</si>
  <si>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</si>
  <si>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</si>
  <si>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</si>
  <si>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</si>
  <si>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</si>
  <si>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</si>
  <si>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</si>
  <si>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</si>
  <si>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</si>
  <si>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</si>
  <si>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</si>
  <si>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</si>
  <si>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</si>
  <si>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</si>
  <si>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</si>
  <si>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</si>
  <si>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</si>
  <si>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</si>
  <si>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</si>
  <si>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</si>
  <si>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</si>
  <si>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</si>
  <si>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</si>
  <si>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</si>
  <si>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</si>
  <si>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</si>
  <si>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</si>
  <si>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</si>
  <si>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</si>
  <si>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</si>
  <si>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</si>
  <si>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</si>
  <si>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</si>
  <si>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</si>
  <si>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</si>
  <si>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</si>
  <si>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</si>
  <si>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</si>
  <si>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</si>
  <si>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</si>
  <si>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</si>
  <si>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</si>
  <si>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</si>
  <si>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</si>
  <si>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</si>
  <si>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</si>
  <si>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</si>
  <si>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</si>
  <si>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</si>
  <si>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</si>
  <si>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</si>
  <si>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</si>
  <si>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</si>
  <si>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</si>
  <si>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</si>
  <si>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</si>
  <si>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</si>
  <si>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</si>
  <si>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</si>
  <si>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</si>
  <si>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</si>
  <si>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</si>
  <si>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</si>
  <si>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</si>
  <si>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</si>
  <si>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</si>
  <si>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</si>
  <si>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</si>
  <si>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</si>
  <si>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</si>
  <si>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</si>
  <si>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</si>
  <si>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</si>
  <si>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</si>
  <si>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</si>
  <si>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</si>
  <si>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</si>
  <si>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</si>
  <si>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</si>
  <si>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</si>
  <si>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</si>
  <si>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</si>
  <si>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</si>
  <si>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</si>
  <si>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</si>
  <si>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</si>
  <si>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</si>
  <si>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</si>
  <si>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</si>
  <si>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</si>
  <si>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</si>
  <si>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</si>
  <si>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</si>
  <si>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</si>
  <si>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</si>
  <si>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</si>
  <si>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</si>
  <si>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</si>
  <si>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</si>
  <si>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</si>
  <si>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</si>
  <si>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</si>
  <si>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</si>
  <si>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</si>
  <si>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</si>
  <si>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</si>
  <si>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</si>
  <si>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</si>
  <si>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</si>
  <si>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</si>
  <si>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</si>
  <si>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</si>
  <si>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</si>
  <si>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</si>
  <si>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</si>
  <si>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</si>
  <si>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</si>
  <si>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</si>
  <si>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</si>
  <si>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</si>
  <si>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</si>
  <si>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</si>
  <si>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</si>
  <si>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</si>
  <si>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</si>
  <si>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</si>
  <si>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</si>
  <si>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</si>
  <si>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</si>
  <si>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</si>
  <si>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</si>
  <si>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</si>
  <si>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In this video series-5, Dr Yunus answers the queries of the audience and encourages youth to take up designing social businesses. He also talks on the issue of abuse of microfinance.</t>
  </si>
  <si>
    <t xml:space="preserve">Creating a World Without Poverty Q&amp;A Part 6 </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</si>
  <si>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</si>
  <si>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</si>
  <si>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</si>
  <si>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</si>
  <si>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</si>
  <si>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</si>
  <si>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</si>
  <si>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</si>
  <si>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</si>
  <si>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</si>
  <si>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</si>
  <si>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</si>
  <si>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</si>
  <si>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</si>
  <si>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</si>
  <si>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</si>
  <si>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</si>
  <si>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</si>
  <si>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</si>
  <si>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In this video Microfinance Podcast is on road collecting new interesting footage.</t>
  </si>
  <si>
    <t>Podcast</t>
  </si>
  <si>
    <t xml:space="preserve">Financial Crisis Impact on MFIs and their Clients Part 1 </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</si>
  <si>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</si>
  <si>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</si>
  <si>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</si>
  <si>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</si>
  <si>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</si>
  <si>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</si>
  <si>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</si>
  <si>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</si>
  <si>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</si>
  <si>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</si>
  <si>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</si>
  <si>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</si>
  <si>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</si>
  <si>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</si>
  <si>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</si>
  <si>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</si>
  <si>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</si>
  <si>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</si>
  <si>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</si>
  <si>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</si>
  <si>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</si>
  <si>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</si>
  <si>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</si>
  <si>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</si>
  <si>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</si>
  <si>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</si>
  <si>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</si>
  <si>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</si>
  <si>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</si>
  <si>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</si>
  <si>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</si>
  <si>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</si>
  <si>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</si>
  <si>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</si>
  <si>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</si>
  <si>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</si>
  <si>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</si>
  <si>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</si>
  <si>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</si>
  <si>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</si>
  <si>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</si>
  <si>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</si>
  <si>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</si>
  <si>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</si>
  <si>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</si>
  <si>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</si>
  <si>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</si>
  <si>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</si>
  <si>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</si>
  <si>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</si>
  <si>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</si>
  <si>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</si>
  <si>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</si>
  <si>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</si>
  <si>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</si>
  <si>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</si>
  <si>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</si>
  <si>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</si>
  <si>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</si>
  <si>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</si>
  <si>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</si>
  <si>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</si>
  <si>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</si>
  <si>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</si>
  <si>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</si>
  <si>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</si>
  <si>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</si>
  <si>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</si>
  <si>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</si>
  <si>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</si>
  <si>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</si>
  <si>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</si>
  <si>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</si>
  <si>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</si>
  <si>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</si>
  <si>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</si>
  <si>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</si>
  <si>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</si>
  <si>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</si>
  <si>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</si>
  <si>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</si>
  <si>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</si>
  <si>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</si>
  <si>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</si>
  <si>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</si>
  <si>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</si>
  <si>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</si>
  <si>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</si>
  <si>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</si>
  <si>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</si>
  <si>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</si>
  <si>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</si>
  <si>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</si>
  <si>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</si>
  <si>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</si>
  <si>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</si>
  <si>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</si>
  <si>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</si>
  <si>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</si>
  <si>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</si>
  <si>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</si>
  <si>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</si>
  <si>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</si>
  <si>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</si>
  <si>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</si>
  <si>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</si>
  <si>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</si>
  <si>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</si>
  <si>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</si>
  <si>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</si>
  <si>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</si>
  <si>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</si>
  <si>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</si>
  <si>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</si>
  <si>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</si>
  <si>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</si>
  <si>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</si>
  <si>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</si>
  <si>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</si>
  <si>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</si>
  <si>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</si>
  <si>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</si>
  <si>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</si>
  <si>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</si>
  <si>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</si>
  <si>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</si>
  <si>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</si>
  <si>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</si>
  <si>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</si>
  <si>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</si>
  <si>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</si>
  <si>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</si>
  <si>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</si>
  <si>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</si>
  <si>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</si>
  <si>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</si>
  <si>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</si>
  <si>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</si>
  <si>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</si>
  <si>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</si>
  <si>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</si>
  <si>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</si>
  <si>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</si>
  <si>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</si>
  <si>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</si>
  <si>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</si>
  <si>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</si>
  <si>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</si>
  <si>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In this video, MSC shows excerpts of few interviews from the year 2010.</t>
  </si>
  <si>
    <t>Mobile Banking: Why are We Evolving to Mobile Money Marketing?</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</si>
  <si>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</si>
  <si>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</si>
  <si>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</si>
  <si>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</si>
  <si>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</si>
  <si>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</si>
  <si>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</si>
  <si>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</si>
  <si>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</si>
  <si>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</si>
  <si>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</si>
  <si>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</si>
  <si>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</si>
  <si>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</si>
  <si>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</si>
  <si>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</si>
  <si>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</si>
  <si>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</si>
  <si>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</si>
  <si>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</si>
  <si>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</si>
  <si>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</si>
  <si>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</si>
  <si>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</si>
  <si>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</si>
  <si>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</si>
  <si>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</si>
  <si>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</si>
  <si>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</si>
  <si>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</si>
  <si>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</si>
  <si>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</si>
  <si>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</si>
  <si>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</si>
  <si>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</si>
  <si>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</si>
  <si>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</si>
  <si>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</si>
  <si>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</si>
  <si>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</si>
  <si>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</si>
  <si>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</si>
  <si>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</si>
  <si>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</si>
  <si>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</si>
  <si>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</si>
  <si>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</si>
  <si>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</si>
  <si>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</si>
  <si>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</si>
  <si>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</si>
  <si>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</si>
  <si>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</si>
  <si>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</si>
  <si>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</si>
  <si>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</si>
  <si>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</si>
  <si>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</si>
  <si>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</si>
  <si>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</si>
  <si>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</si>
  <si>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</si>
  <si>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</si>
  <si>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</si>
  <si>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</si>
  <si>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</si>
  <si>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</si>
  <si>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</si>
  <si>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</si>
  <si>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</si>
  <si>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</si>
  <si>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</si>
  <si>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</si>
  <si>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</si>
  <si>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</si>
  <si>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</si>
  <si>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</si>
  <si>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</si>
  <si>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</si>
  <si>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</si>
  <si>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</si>
  <si>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</si>
  <si>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</si>
  <si>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</si>
  <si>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</si>
  <si>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</si>
  <si>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</si>
  <si>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</si>
  <si>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</si>
  <si>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</si>
  <si>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</si>
  <si>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</si>
  <si>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</si>
  <si>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</si>
  <si>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</si>
  <si>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</si>
  <si>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</si>
  <si>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</si>
  <si>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</si>
  <si>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</si>
  <si>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</si>
  <si>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</si>
  <si>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</si>
  <si>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</si>
  <si>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</si>
  <si>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</si>
  <si>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</si>
  <si>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</si>
  <si>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</si>
  <si>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</si>
  <si>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We interviewed Ignacio Mas to find out what he thinks about mobile banking and its role in increasing financial inclusion.</t>
  </si>
  <si>
    <t>Microinsurance: The Indian Dilemma</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</si>
  <si>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</si>
  <si>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</si>
  <si>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</si>
  <si>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</si>
  <si>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</si>
  <si>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</si>
  <si>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</si>
  <si>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</si>
  <si>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</si>
  <si>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</si>
  <si>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</si>
  <si>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</si>
  <si>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</si>
  <si>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</si>
  <si>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</si>
  <si>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</si>
  <si>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</si>
  <si>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</si>
  <si>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</si>
  <si>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</si>
  <si>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</si>
  <si>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</si>
  <si>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</si>
  <si>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</si>
  <si>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</si>
  <si>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</si>
  <si>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</si>
  <si>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</si>
  <si>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</si>
  <si>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</si>
  <si>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</si>
  <si>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</si>
  <si>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</si>
  <si>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</si>
  <si>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</si>
  <si>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</si>
  <si>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</si>
  <si>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</si>
  <si>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</si>
  <si>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</si>
  <si>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</si>
  <si>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</si>
  <si>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</si>
  <si>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</si>
  <si>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</si>
  <si>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</si>
  <si>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</si>
  <si>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</si>
  <si>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</si>
  <si>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</si>
  <si>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</si>
  <si>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</si>
  <si>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</si>
  <si>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</si>
  <si>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</si>
  <si>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</si>
  <si>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</si>
  <si>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</si>
  <si>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</si>
  <si>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</si>
  <si>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</si>
  <si>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</si>
  <si>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</si>
  <si>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</si>
  <si>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</si>
  <si>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</si>
  <si>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</si>
  <si>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</si>
  <si>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</si>
  <si>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</si>
  <si>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</si>
  <si>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</si>
  <si>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</si>
  <si>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</si>
  <si>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</si>
  <si>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</si>
  <si>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</si>
  <si>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</si>
  <si>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</si>
  <si>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</si>
  <si>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</si>
  <si>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</si>
  <si>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</si>
  <si>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</si>
  <si>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</si>
  <si>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</si>
  <si>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</si>
  <si>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</si>
  <si>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</si>
  <si>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</si>
  <si>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</si>
  <si>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</si>
  <si>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</si>
  <si>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</si>
  <si>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</si>
  <si>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</si>
  <si>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</si>
  <si>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</si>
  <si>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</si>
  <si>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</si>
  <si>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</si>
  <si>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</si>
  <si>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</si>
  <si>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</si>
  <si>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</si>
  <si>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</si>
  <si>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</si>
  <si>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</si>
  <si>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</si>
  <si>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</si>
  <si>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</si>
  <si>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</si>
  <si>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</si>
  <si>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</si>
  <si>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</si>
  <si>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</si>
  <si>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</si>
  <si>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</si>
  <si>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</si>
  <si>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</si>
  <si>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</si>
  <si>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</si>
  <si>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</si>
  <si>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</si>
  <si>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</si>
  <si>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</si>
  <si>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</si>
  <si>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</si>
  <si>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</si>
  <si>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</si>
  <si>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</si>
  <si>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</si>
  <si>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</si>
  <si>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</si>
  <si>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</si>
  <si>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</si>
  <si>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</si>
  <si>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</si>
  <si>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</si>
  <si>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</si>
  <si>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</si>
  <si>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</si>
  <si>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</si>
  <si>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</si>
  <si>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</si>
  <si>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</si>
  <si>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</si>
  <si>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</si>
  <si>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</si>
  <si>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</si>
  <si>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</si>
  <si>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</si>
  <si>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</si>
  <si>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</si>
  <si>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</si>
  <si>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</si>
  <si>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</si>
  <si>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</si>
  <si>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</si>
  <si>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</si>
  <si>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</si>
  <si>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</si>
  <si>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</si>
  <si>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</si>
  <si>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</si>
  <si>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</si>
  <si>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</si>
  <si>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</si>
  <si>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</si>
  <si>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</si>
  <si>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</si>
  <si>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</si>
  <si>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</si>
  <si>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</si>
  <si>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</si>
  <si>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</si>
  <si>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</si>
  <si>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</si>
  <si>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</si>
  <si>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</si>
  <si>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</si>
  <si>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</si>
  <si>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</si>
  <si>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</si>
  <si>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</si>
  <si>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</si>
  <si>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</si>
  <si>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</si>
  <si>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</si>
  <si>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</si>
  <si>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</si>
  <si>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</si>
  <si>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</si>
  <si>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</si>
  <si>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</si>
  <si>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</si>
  <si>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</si>
  <si>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</si>
  <si>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</si>
  <si>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</si>
  <si>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</si>
  <si>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</si>
  <si>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</si>
  <si>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</si>
  <si>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</si>
  <si>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</si>
  <si>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</si>
  <si>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</si>
  <si>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</si>
  <si>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</si>
  <si>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</si>
  <si>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</si>
  <si>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</si>
  <si>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</si>
  <si>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</si>
  <si>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</si>
  <si>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</si>
  <si>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</si>
  <si>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</si>
  <si>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</si>
  <si>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</si>
  <si>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</si>
  <si>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</si>
  <si>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</si>
  <si>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</si>
  <si>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</si>
  <si>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</si>
  <si>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</si>
  <si>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</si>
  <si>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</si>
  <si>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</si>
  <si>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</si>
  <si>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</si>
  <si>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</si>
  <si>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</si>
  <si>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</si>
  <si>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</si>
  <si>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</si>
  <si>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</si>
  <si>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</si>
  <si>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</si>
  <si>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</si>
  <si>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</si>
  <si>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</si>
  <si>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</si>
  <si>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</si>
  <si>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</si>
  <si>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</si>
  <si>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</si>
  <si>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</si>
  <si>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</si>
  <si>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</si>
  <si>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</si>
  <si>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</si>
  <si>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</si>
  <si>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</si>
  <si>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</si>
  <si>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</si>
  <si>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</si>
  <si>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</si>
  <si>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</si>
  <si>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</si>
  <si>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</si>
  <si>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</si>
  <si>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</si>
  <si>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</si>
  <si>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</si>
  <si>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</si>
  <si>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</si>
  <si>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</si>
  <si>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</si>
  <si>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</si>
  <si>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</si>
  <si>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</si>
  <si>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</si>
  <si>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</si>
  <si>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</si>
  <si>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</si>
  <si>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</si>
  <si>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</si>
  <si>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</si>
  <si>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</si>
  <si>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</si>
  <si>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</si>
  <si>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</si>
  <si>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</si>
  <si>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</si>
  <si>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</si>
  <si>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</si>
  <si>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</si>
  <si>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</si>
  <si>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</si>
  <si>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</si>
  <si>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</si>
  <si>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</si>
  <si>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</si>
  <si>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</si>
  <si>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</si>
  <si>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</si>
  <si>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</si>
  <si>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</si>
  <si>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</si>
  <si>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</si>
  <si>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</si>
  <si>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</si>
  <si>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</si>
  <si>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</si>
  <si>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</si>
  <si>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</si>
  <si>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</si>
  <si>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</si>
  <si>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</si>
  <si>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</si>
  <si>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</si>
  <si>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</si>
  <si>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</si>
  <si>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</si>
  <si>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</si>
  <si>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</si>
  <si>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</si>
  <si>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</si>
  <si>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</si>
  <si>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</si>
  <si>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</si>
  <si>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</si>
  <si>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</si>
  <si>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</si>
  <si>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</si>
  <si>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</si>
  <si>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</si>
  <si>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</si>
  <si>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</si>
  <si>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</si>
  <si>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</si>
  <si>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</si>
  <si>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</si>
  <si>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</si>
  <si>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</si>
  <si>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</si>
  <si>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</si>
  <si>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</si>
  <si>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</si>
  <si>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</si>
  <si>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</si>
  <si>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</si>
  <si>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</si>
  <si>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</si>
  <si>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</si>
  <si>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</si>
  <si>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</si>
  <si>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</si>
  <si>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</si>
  <si>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</si>
  <si>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</si>
  <si>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</si>
  <si>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</si>
  <si>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</si>
  <si>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</si>
  <si>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</si>
  <si>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</si>
  <si>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</si>
  <si>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</si>
  <si>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</si>
  <si>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</si>
  <si>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</si>
  <si>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</si>
  <si>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</si>
  <si>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</si>
  <si>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</si>
  <si>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</si>
  <si>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</si>
  <si>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</si>
  <si>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</si>
  <si>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</si>
  <si>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</si>
  <si>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</si>
  <si>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</si>
  <si>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</si>
  <si>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</si>
  <si>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</si>
  <si>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</si>
  <si>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</si>
  <si>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</si>
  <si>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</si>
  <si>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</si>
  <si>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</si>
  <si>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</si>
  <si>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</si>
  <si>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</si>
  <si>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</si>
  <si>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</si>
  <si>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</si>
  <si>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</si>
  <si>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</si>
  <si>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</si>
  <si>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</si>
  <si>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</si>
  <si>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</si>
  <si>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</si>
  <si>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</si>
  <si>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</si>
  <si>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</si>
  <si>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</si>
  <si>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</si>
  <si>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</si>
  <si>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</si>
  <si>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</si>
  <si>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</si>
  <si>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</si>
  <si>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</si>
  <si>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</si>
  <si>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</si>
  <si>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</si>
  <si>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</si>
  <si>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</si>
  <si>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</si>
  <si>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</si>
  <si>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</si>
  <si>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</si>
  <si>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</si>
  <si>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</si>
  <si>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</si>
  <si>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</si>
  <si>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</si>
  <si>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</si>
  <si>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</si>
  <si>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</si>
  <si>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</si>
  <si>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</si>
  <si>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</si>
  <si>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</si>
  <si>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</si>
  <si>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</si>
  <si>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</si>
  <si>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</si>
  <si>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</si>
  <si>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</si>
  <si>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</si>
  <si>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</si>
  <si>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</si>
  <si>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</si>
  <si>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</si>
  <si>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</si>
  <si>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</si>
  <si>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</si>
  <si>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</si>
  <si>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</si>
  <si>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</si>
  <si>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</si>
  <si>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</si>
  <si>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</si>
  <si>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</si>
  <si>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</si>
  <si>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</si>
  <si>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</si>
  <si>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</si>
  <si>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</si>
  <si>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</si>
  <si>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</si>
  <si>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</si>
  <si>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</si>
  <si>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</si>
  <si>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</si>
  <si>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</si>
  <si>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</si>
  <si>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</si>
  <si>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</si>
  <si>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</si>
  <si>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</si>
  <si>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</si>
  <si>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</si>
  <si>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</si>
  <si>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</si>
  <si>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</si>
  <si>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</si>
  <si>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</si>
  <si>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</si>
  <si>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</si>
  <si>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</si>
  <si>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</si>
  <si>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</si>
  <si>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From access to impact: Building financially healthy women-owned microbusinesses</t>
  </si>
  <si>
    <t>MSC’s global study across 17 emerging markets introduces the SCALE framework to strengthen women-owned microbusinesses’ financial health, emphasizing resilience, security, and gender-specific data for inclusive, stable, and innovative financial ecosystems.</t>
  </si>
  <si>
    <t>Naini Dahra, Abhikalp Purohit and Anushka Tandon</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</si>
  <si>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</si>
  <si>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</si>
  <si>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</si>
  <si>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</si>
  <si>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</si>
  <si>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</si>
  <si>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</si>
  <si>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</si>
  <si>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</si>
  <si>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</si>
  <si>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</si>
  <si>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</si>
  <si>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</si>
  <si>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</si>
  <si>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</si>
  <si>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</si>
  <si>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</si>
  <si>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</si>
  <si>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</si>
  <si>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</si>
  <si>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</si>
  <si>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</si>
  <si>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</si>
  <si>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</si>
  <si>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</si>
  <si>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</si>
  <si>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</si>
  <si>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</si>
  <si>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</si>
  <si>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</si>
  <si>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</si>
  <si>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</si>
  <si>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</si>
  <si>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</si>
  <si>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</si>
  <si>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</si>
  <si>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</si>
  <si>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</si>
  <si>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</si>
  <si>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</si>
  <si>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</si>
  <si>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</si>
  <si>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</si>
  <si>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</si>
  <si>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</si>
  <si>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</si>
  <si>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</si>
  <si>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</si>
  <si>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</si>
  <si>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</si>
  <si>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</si>
  <si>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</si>
  <si>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</si>
  <si>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</si>
  <si>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</si>
  <si>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</si>
  <si>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</si>
  <si>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</si>
  <si>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</si>
  <si>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</si>
  <si>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</si>
  <si>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</si>
  <si>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</si>
  <si>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</si>
  <si>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</si>
  <si>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</si>
  <si>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</si>
  <si>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</si>
  <si>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</si>
  <si>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</si>
  <si>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</si>
  <si>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</si>
  <si>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Financing growth in tough times: Climate resilience for MSMEs in Kenya</t>
  </si>
  <si>
    <t>In this podcast Emma Nyamusi Bundi and Mary Mutemi explore how climate change is reshaping the landscape for small businesses in Kenya. They unpack the challenges MSMEs face from droughts and floods to rising costs and discuss practical solutions and opportunities for resilience, innovation, and green growth.</t>
  </si>
  <si>
    <t>Enhancing financial inclusion for forcibly displaced persons (FDPs) to foster resilience and stability</t>
  </si>
  <si>
    <t>In this podcast, MSC’s Inclusive Financial Ecosystem experts, Violet Kamau and Jackson Kamau, discuss how to enhance financial inclusion for forcibly displaced persons (FDPs). They address key barriers, highlight the impact of financial access, and share global lessons on how inclusive financial systems can empower FDPs, also highlighting successful countries that lead the way in inclusion.</t>
  </si>
  <si>
    <t>Empowering Africa's blue economy: Fish production and sustainable fisheries in Africa. - MicroSave Consulting (MSC)</t>
  </si>
  <si>
    <t>In this podcast, Suzanne Njeri explores how aquaculture can strengthen food security, create sustainable livelihoods, and expand economic opportunities for women and youth across Africa. She also addresses sector challenges, financing gaps, and the potential of value addition and market development.</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</si>
  <si>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</si>
  <si>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</si>
  <si>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</si>
  <si>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</si>
  <si>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</si>
  <si>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</si>
  <si>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</si>
  <si>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</si>
  <si>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</si>
  <si>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</si>
  <si>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</si>
  <si>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</si>
  <si>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</si>
  <si>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</si>
  <si>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</si>
  <si>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</si>
  <si>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</si>
  <si>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</si>
  <si>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</si>
  <si>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</si>
  <si>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</si>
  <si>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</si>
  <si>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</si>
  <si>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</si>
  <si>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</si>
  <si>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</si>
  <si>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</si>
  <si>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</si>
  <si>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</si>
  <si>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</si>
  <si>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</si>
  <si>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</si>
  <si>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</si>
  <si>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</si>
  <si>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</si>
  <si>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</si>
  <si>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</si>
  <si>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</si>
  <si>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</si>
  <si>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</si>
  <si>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</si>
  <si>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</si>
  <si>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</si>
  <si>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</si>
  <si>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</si>
  <si>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</si>
  <si>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</si>
  <si>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</si>
  <si>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</si>
  <si>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</si>
  <si>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</si>
  <si>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</si>
  <si>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</si>
  <si>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</si>
  <si>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</si>
  <si>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</si>
  <si>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</si>
  <si>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</si>
  <si>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</si>
  <si>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</si>
  <si>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</si>
  <si>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</si>
  <si>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</si>
  <si>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</si>
  <si>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</si>
  <si>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</si>
  <si>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</si>
  <si>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</si>
  <si>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</si>
  <si>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</si>
  <si>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</si>
  <si>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</si>
  <si>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</si>
  <si>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</si>
  <si>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</si>
  <si>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</si>
  <si>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</si>
  <si>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</si>
  <si>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</si>
  <si>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</si>
  <si>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</si>
  <si>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</si>
  <si>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</si>
  <si>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</si>
  <si>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</si>
  <si>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</si>
  <si>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</si>
  <si>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</si>
  <si>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</si>
  <si>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</si>
  <si>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</si>
  <si>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</si>
  <si>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</si>
  <si>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</si>
  <si>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</si>
  <si>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</si>
  <si>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</si>
  <si>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</si>
  <si>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</si>
  <si>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</si>
  <si>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</si>
  <si>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</si>
  <si>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</si>
  <si>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</si>
  <si>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</si>
  <si>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</si>
  <si>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</si>
  <si>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</si>
  <si>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</si>
  <si>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</si>
  <si>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</si>
  <si>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</si>
  <si>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</si>
  <si>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</si>
  <si>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</si>
  <si>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</si>
  <si>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</si>
  <si>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</si>
  <si>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</si>
  <si>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</si>
  <si>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</si>
  <si>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</si>
  <si>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</si>
  <si>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</si>
  <si>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</si>
  <si>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</si>
  <si>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</si>
  <si>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</si>
  <si>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</si>
  <si>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</si>
  <si>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</si>
  <si>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</si>
  <si>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</si>
  <si>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</si>
  <si>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</si>
  <si>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</si>
  <si>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</si>
  <si>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</si>
  <si>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</si>
  <si>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</si>
  <si>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</si>
  <si>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</si>
  <si>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</si>
  <si>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</si>
  <si>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</si>
  <si>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</si>
  <si>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</si>
  <si>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</si>
  <si>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</si>
  <si>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</si>
  <si>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</si>
  <si>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</si>
  <si>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</si>
  <si>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</si>
  <si>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</si>
  <si>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</si>
  <si>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</si>
  <si>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</si>
  <si>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</si>
  <si>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</si>
  <si>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</si>
  <si>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</si>
  <si>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</si>
  <si>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</si>
  <si>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</si>
  <si>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</si>
  <si>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</si>
  <si>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</si>
  <si>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</si>
  <si>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</si>
  <si>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</si>
  <si>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</si>
  <si>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</si>
  <si>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</si>
  <si>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</si>
  <si>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</si>
  <si>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</si>
  <si>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</si>
  <si>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</si>
  <si>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</si>
  <si>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</si>
  <si>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</si>
  <si>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</si>
  <si>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</si>
  <si>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</si>
  <si>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</si>
  <si>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</si>
  <si>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</si>
  <si>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</si>
  <si>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</si>
  <si>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</si>
  <si>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</si>
  <si>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Strengthening women’s financial inclusion: Indonesia’s policy note for the G20 Empowerment of Women Working Group (EWWG)</t>
  </si>
  <si>
    <t xml:space="preserve">Indonesia has achieved near gender parity in financial access, with 80% of men and women now using formal financial services. However, gaps in financial literacy, especially among informal workers and homemakers, persist. To address this, the Ministry of Women’s Empowerment and Child Protection (MoWECP) and MicroSave Consulting (MSC) developed a policy note on women’s financial inclusion to guide Indonesia’s role in the G20 2025 Summit. </t>
  </si>
  <si>
    <t> Putu Monica Christy, Azaria Ekaputri, Genoveva Alicia K S Maya, Neha Bhakar and Vaishnavi Harish Mungale</t>
  </si>
  <si>
    <t>Bridging the Digital Divide for Low-Income Entrepreneurs in Bangladesh - MicroSave Consulting (MSC)</t>
  </si>
  <si>
    <t>This policy brief presents evidence from Bangladesh showing that personalized training and support can increase the adoption of digital financial services among low-income entrepreneurs. However, persistent barriers, such as fees, connectivity issues, and trust concerns, limit deeper and more frequent use of digital payments.</t>
  </si>
  <si>
    <t>Mayank Sharma</t>
  </si>
  <si>
    <t>IFN .No</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</si>
  <si>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</si>
  <si>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</si>
  <si>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</si>
  <si>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</si>
  <si>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</si>
  <si>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</si>
  <si>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</si>
  <si>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</si>
  <si>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</si>
  <si>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</si>
  <si>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</si>
  <si>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</si>
  <si>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</si>
  <si>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</si>
  <si>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</si>
  <si>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</si>
  <si>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</si>
  <si>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</si>
  <si>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</si>
  <si>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</si>
  <si>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</si>
  <si>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</si>
  <si>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</si>
  <si>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</si>
  <si>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</si>
  <si>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</si>
  <si>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</si>
  <si>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</si>
  <si>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</si>
  <si>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</si>
  <si>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</si>
  <si>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</si>
  <si>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</si>
  <si>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</si>
  <si>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</si>
  <si>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</si>
  <si>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</si>
  <si>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</si>
  <si>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</si>
  <si>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</si>
  <si>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</si>
  <si>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</si>
  <si>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</si>
  <si>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</si>
  <si>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</si>
  <si>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</si>
  <si>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</si>
  <si>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</si>
  <si>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</si>
  <si>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</si>
  <si>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</si>
  <si>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</si>
  <si>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</si>
  <si>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</si>
  <si>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</si>
  <si>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</si>
  <si>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</si>
  <si>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</si>
  <si>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</si>
  <si>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</si>
  <si>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</si>
  <si>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</si>
  <si>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</si>
  <si>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</si>
  <si>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</si>
  <si>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</si>
  <si>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</si>
  <si>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</si>
  <si>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</si>
  <si>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</si>
  <si>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</si>
  <si>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</si>
  <si>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</si>
  <si>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</si>
  <si>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</si>
  <si>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</si>
  <si>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</si>
  <si>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</si>
  <si>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</si>
  <si>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</si>
  <si>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</si>
  <si>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</si>
  <si>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</si>
  <si>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</si>
  <si>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</si>
  <si>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</si>
  <si>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</si>
  <si>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</si>
  <si>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</si>
  <si>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</si>
  <si>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</si>
  <si>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</si>
  <si>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</si>
  <si>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</si>
  <si>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</si>
  <si>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</si>
  <si>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</si>
  <si>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</si>
  <si>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</si>
  <si>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</si>
  <si>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</si>
  <si>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</si>
  <si>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</si>
  <si>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</si>
  <si>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</si>
  <si>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</si>
  <si>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</si>
  <si>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</si>
  <si>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</si>
  <si>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</si>
  <si>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</si>
  <si>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</si>
  <si>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</si>
  <si>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</si>
  <si>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</si>
  <si>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</si>
  <si>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</si>
  <si>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</si>
  <si>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</si>
  <si>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</si>
  <si>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</si>
  <si>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</si>
  <si>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</si>
  <si>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</si>
  <si>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</si>
  <si>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</si>
  <si>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</si>
  <si>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</si>
  <si>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</si>
  <si>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</si>
  <si>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</si>
  <si>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</si>
  <si>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</si>
  <si>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</si>
  <si>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</si>
  <si>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</si>
  <si>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</si>
  <si>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</si>
  <si>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</si>
  <si>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</si>
  <si>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</si>
  <si>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</si>
  <si>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</si>
  <si>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</si>
  <si>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</si>
  <si>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</si>
  <si>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</si>
  <si>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</si>
  <si>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</si>
  <si>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</si>
  <si>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</si>
  <si>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</si>
  <si>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</si>
  <si>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</si>
  <si>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</si>
  <si>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</si>
  <si>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</si>
  <si>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</si>
  <si>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</si>
  <si>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</si>
  <si>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</si>
  <si>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</si>
  <si>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</si>
  <si>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</si>
  <si>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</si>
  <si>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</si>
  <si>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</si>
  <si>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</si>
  <si>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</si>
  <si>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</si>
  <si>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</si>
  <si>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</si>
  <si>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</si>
  <si>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</si>
  <si>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</si>
  <si>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</si>
  <si>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</si>
  <si>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</si>
  <si>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</si>
  <si>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</si>
  <si>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</si>
  <si>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</si>
  <si>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</si>
  <si>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</si>
  <si>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</si>
  <si>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</si>
  <si>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</si>
  <si>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</si>
  <si>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</si>
  <si>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</si>
  <si>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</si>
  <si>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</si>
  <si>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</si>
  <si>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</si>
  <si>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</si>
  <si>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</si>
  <si>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</si>
  <si>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</si>
  <si>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</si>
  <si>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</si>
  <si>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</si>
  <si>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</si>
  <si>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</si>
  <si>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</si>
  <si>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</si>
  <si>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</si>
  <si>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</si>
  <si>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</si>
  <si>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</si>
  <si>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</si>
  <si>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</si>
  <si>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</si>
  <si>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</si>
  <si>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</si>
  <si>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</si>
  <si>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</si>
  <si>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</si>
  <si>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</si>
  <si>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</si>
  <si>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</si>
  <si>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</si>
  <si>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</si>
  <si>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</si>
  <si>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</si>
  <si>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</si>
  <si>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</si>
  <si>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</si>
  <si>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</si>
  <si>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</si>
  <si>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</si>
  <si>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</si>
  <si>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</si>
  <si>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</si>
  <si>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</si>
  <si>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</si>
  <si>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</si>
  <si>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</si>
  <si>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</si>
  <si>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</si>
  <si>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</si>
  <si>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</si>
  <si>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</si>
  <si>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</si>
  <si>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</si>
  <si>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</si>
  <si>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</si>
  <si>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</si>
  <si>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</si>
  <si>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</si>
  <si>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</si>
  <si>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</si>
  <si>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</si>
  <si>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</si>
  <si>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</si>
  <si>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</si>
  <si>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</si>
  <si>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</si>
  <si>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</si>
  <si>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</si>
  <si>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</si>
  <si>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</si>
  <si>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</si>
  <si>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</si>
  <si>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</si>
  <si>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</si>
  <si>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</si>
  <si>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</si>
  <si>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</si>
  <si>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</si>
  <si>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</si>
  <si>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</si>
  <si>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</si>
  <si>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</si>
  <si>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</si>
  <si>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</si>
  <si>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</si>
  <si>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</si>
  <si>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</si>
  <si>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</si>
  <si>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</si>
  <si>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</si>
  <si>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</si>
  <si>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</si>
  <si>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</si>
  <si>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</si>
  <si>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</si>
  <si>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</si>
  <si>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</si>
  <si>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</si>
  <si>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</si>
  <si>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</si>
  <si>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</si>
  <si>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</si>
  <si>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</si>
  <si>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t>Akhilesh Singh, Lokesh Singh, Nishant Kumar </t>
  </si>
  <si>
    <t xml:space="preserve">Small Finance Banks – Is there an Opportunity for MFIs/NBFCs? </t>
  </si>
  <si>
    <t>First in the series of publications on Small Finance Banks, the IFN titled “Small Finance Banks – Is there an Opportunity for MFIs/NBFCs” explores the possibilities for MFIs and NBFCs as intending to graduate to SFBs. 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</si>
  <si>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</si>
  <si>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</si>
  <si>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</si>
  <si>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</si>
  <si>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</si>
  <si>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</si>
  <si>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</si>
  <si>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</si>
  <si>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</si>
  <si>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</si>
  <si>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</si>
  <si>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</si>
  <si>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</si>
  <si>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</si>
  <si>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</si>
  <si>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</si>
  <si>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</si>
  <si>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</si>
  <si>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</si>
  <si>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</si>
  <si>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</si>
  <si>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</si>
  <si>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</si>
  <si>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</si>
  <si>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</si>
  <si>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</si>
  <si>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</si>
  <si>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</si>
  <si>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</si>
  <si>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</si>
  <si>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</si>
  <si>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</si>
  <si>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</si>
  <si>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</si>
  <si>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</si>
  <si>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</si>
  <si>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</si>
  <si>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</si>
  <si>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</si>
  <si>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</si>
  <si>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</si>
  <si>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</si>
  <si>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</si>
  <si>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</si>
  <si>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</si>
  <si>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</si>
  <si>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</si>
  <si>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</si>
  <si>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</si>
  <si>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</si>
  <si>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</si>
  <si>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</si>
  <si>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</si>
  <si>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</si>
  <si>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</si>
  <si>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</si>
  <si>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</si>
  <si>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</si>
  <si>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</si>
  <si>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</si>
  <si>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</si>
  <si>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</si>
  <si>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</si>
  <si>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</si>
  <si>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</si>
  <si>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</si>
  <si>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</si>
  <si>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</si>
  <si>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</si>
  <si>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</si>
  <si>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</si>
  <si>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</si>
  <si>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</si>
  <si>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</si>
  <si>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</si>
  <si>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</si>
  <si>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</si>
  <si>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</si>
  <si>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</si>
  <si>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</si>
  <si>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</si>
  <si>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</si>
  <si>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</si>
  <si>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</si>
  <si>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</si>
  <si>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</si>
  <si>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</si>
  <si>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</si>
  <si>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</si>
  <si>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</si>
  <si>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</si>
  <si>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</si>
  <si>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</si>
  <si>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</si>
  <si>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</si>
  <si>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</si>
  <si>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</si>
  <si>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</si>
  <si>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</si>
  <si>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</si>
  <si>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</si>
  <si>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</si>
  <si>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</si>
  <si>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</si>
  <si>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</si>
  <si>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</si>
  <si>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</si>
  <si>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</si>
  <si>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</si>
  <si>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</si>
  <si>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</si>
  <si>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</si>
  <si>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</si>
  <si>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</si>
  <si>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</si>
  <si>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</si>
  <si>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</si>
  <si>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</si>
  <si>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</si>
  <si>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</si>
  <si>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</si>
  <si>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</si>
  <si>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</si>
  <si>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</si>
  <si>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</si>
  <si>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</si>
  <si>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</si>
  <si>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</si>
  <si>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</si>
  <si>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</si>
  <si>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</si>
  <si>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</si>
  <si>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</si>
  <si>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</si>
  <si>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</si>
  <si>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</si>
  <si>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</si>
  <si>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</si>
  <si>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</si>
  <si>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</si>
  <si>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</si>
  <si>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</si>
  <si>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</si>
  <si>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</si>
  <si>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</si>
  <si>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</si>
  <si>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</si>
  <si>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</si>
  <si>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</si>
  <si>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</si>
  <si>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</si>
  <si>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</si>
  <si>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</si>
  <si>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</si>
  <si>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</si>
  <si>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</si>
  <si>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</si>
  <si>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</si>
  <si>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</si>
  <si>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</si>
  <si>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</si>
  <si>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</si>
  <si>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</si>
  <si>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</si>
  <si>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</si>
  <si>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</si>
  <si>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</si>
  <si>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</si>
  <si>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</si>
  <si>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</si>
  <si>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</si>
  <si>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</si>
  <si>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</si>
  <si>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</si>
  <si>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</si>
  <si>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</si>
  <si>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</si>
  <si>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</si>
  <si>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</si>
  <si>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</si>
  <si>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</si>
  <si>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</si>
  <si>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</si>
  <si>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</si>
  <si>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</si>
  <si>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</si>
  <si>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</si>
  <si>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</si>
  <si>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</si>
  <si>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</si>
  <si>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</si>
  <si>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</si>
  <si>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</si>
  <si>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</si>
  <si>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</si>
  <si>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</si>
  <si>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</si>
  <si>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</si>
  <si>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</si>
  <si>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</si>
  <si>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</si>
  <si>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</si>
  <si>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</si>
  <si>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</si>
  <si>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</si>
  <si>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</si>
  <si>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</si>
  <si>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</si>
  <si>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</si>
  <si>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</si>
  <si>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</si>
  <si>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</si>
  <si>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</si>
  <si>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</si>
  <si>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</si>
  <si>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</si>
  <si>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</si>
  <si>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</si>
  <si>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</si>
  <si>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</si>
  <si>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</si>
  <si>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</si>
  <si>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</si>
  <si>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</si>
  <si>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</si>
  <si>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</si>
  <si>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</si>
  <si>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</si>
  <si>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</si>
  <si>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</si>
  <si>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</si>
  <si>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</si>
  <si>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</si>
  <si>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</si>
  <si>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</si>
  <si>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</si>
  <si>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</si>
  <si>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</si>
  <si>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</si>
  <si>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</si>
  <si>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</si>
  <si>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</si>
  <si>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</si>
  <si>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</si>
  <si>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</si>
  <si>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</si>
  <si>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</si>
  <si>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</si>
  <si>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</si>
  <si>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</si>
  <si>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</si>
  <si>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</si>
  <si>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</si>
  <si>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</si>
  <si>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</si>
  <si>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</si>
  <si>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</si>
  <si>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</si>
  <si>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</si>
  <si>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</si>
  <si>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</si>
  <si>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</si>
  <si>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</si>
  <si>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</si>
  <si>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</si>
  <si>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</si>
  <si>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</si>
  <si>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</si>
  <si>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</si>
  <si>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</si>
  <si>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</si>
  <si>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</si>
  <si>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</si>
  <si>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</si>
  <si>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</si>
  <si>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</si>
  <si>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</si>
  <si>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</si>
  <si>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</si>
  <si>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</si>
  <si>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</si>
  <si>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</si>
  <si>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</si>
  <si>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</si>
  <si>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</si>
  <si>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</si>
  <si>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</si>
  <si>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</si>
  <si>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</si>
  <si>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</si>
  <si>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</si>
  <si>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</si>
  <si>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</si>
  <si>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</si>
  <si>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</si>
  <si>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</si>
  <si>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</si>
  <si>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</si>
  <si>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</si>
  <si>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</si>
  <si>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</si>
  <si>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</si>
  <si>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</si>
  <si>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</si>
  <si>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</si>
  <si>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</si>
  <si>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</si>
  <si>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</si>
  <si>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</si>
  <si>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</si>
  <si>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</si>
  <si>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</si>
  <si>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</si>
  <si>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</si>
  <si>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</si>
  <si>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</si>
  <si>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</si>
  <si>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</si>
  <si>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</si>
  <si>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</si>
  <si>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</si>
  <si>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</si>
  <si>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</si>
  <si>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</si>
  <si>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</si>
  <si>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</si>
  <si>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</si>
  <si>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</si>
  <si>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</si>
  <si>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</si>
  <si>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</si>
  <si>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</si>
  <si>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</si>
  <si>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</si>
  <si>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</si>
  <si>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</si>
  <si>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</si>
  <si>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</si>
  <si>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</si>
  <si>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</si>
  <si>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</si>
  <si>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</si>
  <si>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</si>
  <si>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</si>
  <si>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</si>
  <si>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</si>
  <si>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</si>
  <si>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</si>
  <si>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</si>
  <si>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</si>
  <si>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</si>
  <si>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</si>
  <si>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</si>
  <si>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</si>
  <si>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</si>
  <si>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</si>
  <si>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</si>
  <si>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</si>
  <si>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</si>
  <si>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</si>
  <si>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</si>
  <si>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</si>
  <si>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</si>
  <si>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</si>
  <si>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</si>
  <si>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</si>
  <si>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</si>
  <si>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</si>
  <si>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</si>
  <si>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</si>
  <si>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</si>
  <si>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</si>
  <si>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</si>
  <si>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</si>
  <si>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</si>
  <si>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</si>
  <si>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</si>
  <si>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</si>
  <si>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</si>
  <si>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</si>
  <si>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</si>
  <si>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</si>
  <si>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</si>
  <si>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</si>
  <si>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</si>
  <si>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</si>
  <si>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</si>
  <si>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</si>
  <si>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</si>
  <si>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</si>
  <si>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</si>
  <si>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</si>
  <si>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</si>
  <si>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</si>
  <si>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</si>
  <si>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</si>
  <si>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</si>
  <si>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</si>
  <si>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</si>
  <si>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</si>
  <si>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</si>
  <si>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</si>
  <si>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</si>
  <si>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</si>
  <si>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</si>
  <si>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</si>
  <si>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</si>
  <si>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</si>
  <si>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</si>
  <si>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</si>
  <si>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</si>
  <si>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</si>
  <si>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</si>
  <si>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</si>
  <si>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</si>
  <si>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</si>
  <si>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</si>
  <si>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</si>
  <si>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</si>
  <si>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</si>
  <si>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</si>
  <si>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</si>
  <si>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</si>
  <si>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</si>
  <si>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</si>
  <si>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</si>
  <si>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</si>
  <si>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</si>
  <si>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</si>
  <si>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</si>
  <si>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</si>
  <si>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</si>
  <si>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</si>
  <si>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</si>
  <si>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</si>
  <si>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</si>
  <si>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</si>
  <si>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</si>
  <si>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</si>
  <si>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</si>
  <si>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</si>
  <si>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</si>
  <si>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</si>
  <si>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</si>
  <si>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</si>
  <si>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</si>
  <si>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</si>
  <si>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</si>
  <si>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</si>
  <si>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</si>
  <si>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</si>
  <si>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</si>
  <si>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</si>
  <si>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</si>
  <si>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</si>
  <si>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</si>
  <si>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</si>
  <si>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</si>
  <si>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</si>
  <si>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</si>
  <si>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</si>
  <si>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</si>
  <si>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</si>
  <si>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</si>
  <si>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</si>
  <si>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</si>
  <si>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</si>
  <si>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</si>
  <si>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</si>
  <si>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</si>
  <si>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</si>
  <si>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</si>
  <si>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</si>
  <si>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</si>
  <si>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</si>
  <si>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</si>
  <si>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</si>
  <si>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</si>
  <si>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</si>
  <si>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</si>
  <si>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</si>
  <si>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</si>
  <si>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</si>
  <si>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</si>
  <si>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</si>
  <si>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</si>
  <si>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</si>
  <si>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</si>
  <si>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</si>
  <si>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</si>
  <si>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</si>
  <si>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</si>
  <si>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</si>
  <si>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</si>
  <si>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</si>
  <si>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</si>
  <si>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</si>
  <si>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</si>
  <si>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</si>
  <si>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</si>
  <si>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</si>
  <si>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</si>
  <si>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</si>
  <si>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</si>
  <si>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</si>
  <si>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</si>
  <si>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</si>
  <si>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</si>
  <si>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</si>
  <si>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</si>
  <si>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</si>
  <si>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</si>
  <si>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</si>
  <si>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</si>
  <si>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</si>
  <si>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</si>
  <si>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</si>
  <si>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</si>
  <si>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</si>
  <si>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</si>
  <si>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</si>
  <si>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</si>
  <si>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</si>
  <si>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</si>
  <si>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</si>
  <si>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</si>
  <si>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</si>
  <si>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</si>
  <si>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</si>
  <si>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</si>
  <si>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</si>
  <si>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</si>
  <si>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</si>
  <si>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</si>
  <si>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</si>
  <si>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</si>
  <si>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</si>
  <si>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</si>
  <si>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</si>
  <si>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</si>
  <si>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</si>
  <si>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</si>
  <si>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</si>
  <si>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</si>
  <si>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</si>
  <si>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</si>
  <si>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</si>
  <si>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</si>
  <si>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</si>
  <si>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</si>
  <si>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</si>
  <si>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</si>
  <si>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</si>
  <si>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</si>
  <si>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</si>
  <si>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</si>
  <si>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</si>
  <si>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</si>
  <si>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</si>
  <si>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</si>
  <si>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</si>
  <si>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</si>
  <si>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</si>
  <si>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</si>
  <si>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</si>
  <si>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</si>
  <si>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</si>
  <si>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Are pensions reaching the “last mile” Insights into the digitization of payments —Part II</t>
  </si>
  <si>
    <t>Social assistance and information in the initial phase of the pandemic-Lessons from a household survey in India</t>
  </si>
  <si>
    <t>Anurodh Giri, Arshi Aadil and Damini Mohan</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</si>
  <si>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</si>
  <si>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</si>
  <si>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</si>
  <si>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</si>
  <si>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</si>
  <si>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</si>
  <si>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</si>
  <si>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</si>
  <si>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</si>
  <si>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</si>
  <si>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</si>
  <si>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</si>
  <si>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</si>
  <si>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</si>
  <si>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</si>
  <si>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</si>
  <si>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</si>
  <si>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</si>
  <si>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</si>
  <si>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</si>
  <si>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</si>
  <si>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</si>
  <si>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</si>
  <si>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</si>
  <si>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</si>
  <si>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</si>
  <si>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</si>
  <si>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</si>
  <si>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</si>
  <si>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</si>
  <si>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</si>
  <si>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</si>
  <si>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</si>
  <si>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</si>
  <si>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</si>
  <si>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</si>
  <si>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</si>
  <si>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</si>
  <si>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</si>
  <si>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</si>
  <si>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</si>
  <si>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</si>
  <si>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</si>
  <si>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</si>
  <si>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</si>
  <si>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</si>
  <si>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</si>
  <si>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</si>
  <si>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</si>
  <si>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</si>
  <si>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</si>
  <si>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</si>
  <si>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</si>
  <si>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</si>
  <si>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</si>
  <si>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</si>
  <si>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</si>
  <si>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</si>
  <si>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</si>
  <si>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</si>
  <si>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</si>
  <si>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</si>
  <si>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</si>
  <si>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</si>
  <si>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</si>
  <si>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</si>
  <si>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</si>
  <si>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</si>
  <si>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</si>
  <si>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</si>
  <si>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</si>
  <si>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</si>
  <si>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</si>
  <si>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</si>
  <si>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</si>
  <si>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</si>
  <si>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</si>
  <si>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</si>
  <si>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</si>
  <si>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</si>
  <si>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</si>
  <si>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</si>
  <si>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</si>
  <si>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</si>
  <si>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</si>
  <si>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</si>
  <si>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</si>
  <si>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</si>
  <si>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</si>
  <si>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</si>
  <si>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</si>
  <si>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</si>
  <si>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</si>
  <si>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</si>
  <si>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</si>
  <si>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</si>
  <si>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</si>
  <si>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</si>
  <si>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</si>
  <si>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</si>
  <si>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</si>
  <si>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</si>
  <si>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</si>
  <si>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</si>
  <si>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</si>
  <si>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</si>
  <si>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</si>
  <si>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</si>
  <si>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</si>
  <si>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</si>
  <si>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</si>
  <si>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</si>
  <si>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Impact of the COVID-19 pandemic on low- and moderate-income (LMIs) populations and micro, small, and medium enterprises (MSMEs)- Comparative report</t>
  </si>
  <si>
    <t>by Anup Singh, Diana Siddiqui and Graham Wright</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</si>
  <si>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</si>
  <si>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</si>
  <si>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</si>
  <si>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</si>
  <si>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</si>
  <si>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</si>
  <si>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</si>
  <si>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</si>
  <si>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</si>
  <si>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</si>
  <si>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</si>
  <si>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</si>
  <si>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Samveet Sahoo, Shahrukh Ahmed Latif, Md Farista Andalib and Ihsan Mahboob Hoq
calendar</t>
  </si>
  <si>
    <t>Timely Wages, Trusted Payments: Smart Payments for Urban Livelihoods</t>
  </si>
  <si>
    <t>This case study documents how MSC’s Smart Payment Solution has can transform urban livelihood programs, such as MUKTA (Odisha’s urban employment scheme), in India. The solution integrates just-in-time (JIT) fund release alongside digital program management to streamline the delivery of payments. For MUKTA, the solution significantly reduced wage delays, simplified administration, and strengthened accountability, thereby enhancing the livelihoods of informal urban workers and women-led self-help groups. This success carries nationwide implications, showcasing high potential for replication across similar urban employment programs throughout the country.</t>
  </si>
  <si>
    <t>Guillermo Herrera Nimmagadda, Ritika Singh, Akshit Saini and Sanika Sayali Talekar</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</si>
  <si>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</si>
  <si>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</si>
  <si>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</si>
  <si>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</si>
  <si>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</si>
  <si>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</si>
  <si>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</si>
  <si>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</si>
  <si>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</si>
  <si>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</si>
  <si>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</si>
  <si>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</si>
  <si>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</si>
  <si>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</si>
  <si>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</si>
  <si>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</si>
  <si>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</si>
  <si>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</si>
  <si>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</si>
  <si>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</si>
  <si>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</si>
  <si>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</si>
  <si>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</si>
  <si>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</si>
  <si>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</si>
  <si>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</si>
  <si>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</si>
  <si>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</si>
  <si>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</si>
  <si>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</si>
  <si>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</si>
  <si>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</si>
  <si>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</si>
  <si>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</si>
  <si>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</si>
  <si>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</si>
  <si>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</si>
  <si>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</si>
  <si>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</si>
  <si>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</si>
  <si>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</si>
  <si>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</si>
  <si>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</si>
  <si>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</si>
  <si>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</si>
  <si>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</si>
  <si>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</si>
  <si>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Digital governance: Is Krishna a glimpse of the future?</t>
  </si>
  <si>
    <t xml:space="preserve">Earlier this year we undertook a field study of Krishna district of Andhra Pradesh (AP), together with collaborators from Centre for Global Development, to understand the experience and perceptions around digital governance reforms. </t>
  </si>
  <si>
    <t xml:space="preserve"> Alan Gelb, Anit Mukherjee and Kyle Navis</t>
  </si>
  <si>
    <t xml:space="preserve">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 </t>
  </si>
  <si>
    <t>How digital reforms in food subsidy settlements can speed up intergovernmental transfers in India - MicroSave Consulting (MSC)</t>
  </si>
  <si>
    <t>This note examines systemic delays in the settlement of food subsidy accounts between the Center and states in India. It unpacks the structural, administrative, and coordination challenges underlying these delays and outlines how targeted digital and process reforms can significantly improve the efficiency of intergovernmental transfers.</t>
  </si>
  <si>
    <t>Akshit Saini and Ritika Singh</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</si>
  <si>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</si>
  <si>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</si>
  <si>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</si>
  <si>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</si>
  <si>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</si>
  <si>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</si>
  <si>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</si>
  <si>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</si>
  <si>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</si>
  <si>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</si>
  <si>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</si>
  <si>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</si>
  <si>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</si>
  <si>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</si>
  <si>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</si>
  <si>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</si>
  <si>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</si>
  <si>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</si>
  <si>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</si>
  <si>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</si>
  <si>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</si>
  <si>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</si>
  <si>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</si>
  <si>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</si>
  <si>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</si>
  <si>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</si>
  <si>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</si>
  <si>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</si>
  <si>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</si>
  <si>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</si>
  <si>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</si>
  <si>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</si>
  <si>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</si>
  <si>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</si>
  <si>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</si>
  <si>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</si>
  <si>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</si>
  <si>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</si>
  <si>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</si>
  <si>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</si>
  <si>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</si>
  <si>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</si>
  <si>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</si>
  <si>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</si>
  <si>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</si>
  <si>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</si>
  <si>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</si>
  <si>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</si>
  <si>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</si>
  <si>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</si>
  <si>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</si>
  <si>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</si>
  <si>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</si>
  <si>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</si>
  <si>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</si>
  <si>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</si>
  <si>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</si>
  <si>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</si>
  <si>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</si>
  <si>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</si>
  <si>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</si>
  <si>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</si>
  <si>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</si>
  <si>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</si>
  <si>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</si>
  <si>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</si>
  <si>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</si>
  <si>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</si>
  <si>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</si>
  <si>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</si>
  <si>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</si>
  <si>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</si>
  <si>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</si>
  <si>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</si>
  <si>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</si>
  <si>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</si>
  <si>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</si>
  <si>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</si>
  <si>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</si>
  <si>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</si>
  <si>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</si>
  <si>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</si>
  <si>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</si>
  <si>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</si>
  <si>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</si>
  <si>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</si>
  <si>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</si>
  <si>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</si>
  <si>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</si>
  <si>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</si>
  <si>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</si>
  <si>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</si>
  <si>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</si>
  <si>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</si>
  <si>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</si>
  <si>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</si>
  <si>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</si>
  <si>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Accelerating Indonesia’s Blue Food Economy-Qualitative Assessment</t>
  </si>
  <si>
    <t>by Rifki Akbari, Rahmatika Febrianti, Azaria Ekaputri and Dipanshi Sood</t>
  </si>
  <si>
    <t>Mitul Thapliyal and Anant Jayant Natu</t>
  </si>
  <si>
    <t>How can inclusion work if it leaves out people</t>
  </si>
  <si>
    <t>Graham Wright, Rahul Chatterjee, Raunak Kapoor and Anne Marie van Swinderen</t>
  </si>
  <si>
    <t xml:space="preserve">Md Farista Andalib, Alvina Zafar, Samveet Sahoo and Akhand Tiwari
</t>
  </si>
  <si>
    <t>Anik Muntasir Chowdhury and Akhand Tiwari</t>
  </si>
  <si>
    <t>Astri Sri Sulastri and TVS Ravi Kumar</t>
  </si>
  <si>
    <t>David Cracknell and Venkata N. Atluri</t>
  </si>
  <si>
    <t>William Nanjero, Jacqueline Jumah and Isaac Ondieki</t>
  </si>
  <si>
    <t>Abhinav Sinha, Piyush Singh, Priya Garg and Anil Gupta</t>
  </si>
  <si>
    <t xml:space="preserve">Anurodh Giri, Arshi Aadil and Damini Mohan
</t>
  </si>
  <si>
    <t>Leonard Mutesasira, Henry Sempangi, David Hulme, Stuart Rutherford, Graham A.N. Wright</t>
  </si>
  <si>
    <t>Akhand Tiwari, Sonal Jaitly and Rahul Chatterjee</t>
  </si>
  <si>
    <t>Mimansa Khanna and Sombul Munshi</t>
  </si>
  <si>
    <t>Sakshi  Chadha and Anurodh Giri</t>
  </si>
  <si>
    <t>Rajesh Aggarwal</t>
  </si>
  <si>
    <t>Angela Wambugu, Sunil Bhat </t>
  </si>
  <si>
    <t>Jesila Ledesma, Amina Mendez, Liezl Engracia </t>
  </si>
  <si>
    <t xml:space="preserve">Abhishek Katariya, Priyal Advani, Saloni Gupta, Mohak Srivastava, Ritika Gupta, Shubhi Singh and Surbhi Sood
</t>
  </si>
  <si>
    <t xml:space="preserve">Abhishek Anand, Manoj Nayak, Nitish Narain, Shobhit Mishra, Surbhi Sood, Aakash Mehrotra, Mohak Srivastava and Gayatri
</t>
  </si>
  <si>
    <t>Puneet Khanduja, Neha Parakh, Mitul Thapliyal and Vijay Ravi</t>
  </si>
  <si>
    <t>Aishwarya, Mitul, Neha and Nishant,Vijay Ravi</t>
  </si>
  <si>
    <t>Aishwarya, Mitul, Neha and Nishant</t>
  </si>
  <si>
    <t>Anil, Mohit, Charvi, Shewta Menon Meenal</t>
  </si>
  <si>
    <t>Ghiyazuddin Mohammad and Rahmi Yunaningsih</t>
  </si>
  <si>
    <t>Guillermo Herrera Nimmagadda, Akshit Saini, Charu Mohit and Vikram Sharma</t>
  </si>
  <si>
    <t>Isaac Holly, Krishnan Narasimhan, Vivek Gupta, Priyank Mishra, Amit Joshi and Puneet Chopra</t>
  </si>
  <si>
    <t>Ignacio Mas and Vartika Shukla</t>
  </si>
  <si>
    <t>Mohit Saini and Aakanksha Thakur</t>
  </si>
  <si>
    <t>Akhand Tiwari, Doreen Ahimbisibwe, Agnes Salyanty, Manoj Pandey, Rahul Chatterjee and Rahmatika Febriant</t>
  </si>
  <si>
    <t>Anil Gupta and Nishant Kumar</t>
  </si>
  <si>
    <t>Putu Monica Christy and Fifi Rashando</t>
  </si>
  <si>
    <t>Shweta Menon, Prabir Barooah, Anil Gupta and Anshul Saxena</t>
  </si>
  <si>
    <r>
      <rPr>
        <sz val="10"/>
        <color rgb="FF002060"/>
        <rFont val="Trebuchet MS"/>
        <family val="2"/>
      </rPr>
      <t>N. Srinivasan, Venkatesh Tagat and Girija Srinivasan</t>
    </r>
  </si>
  <si>
    <r>
      <t>Mobile money is receiving increasingly global attention as some observers hope that it will largely replace cash – in the long run at least. MFIs stand to gain immensely from the advent of mobile money as (</t>
    </r>
    <r>
      <rPr>
        <i/>
        <sz val="10"/>
        <color rgb="FF002060"/>
        <rFont val="Trebuchet MS"/>
        <family val="2"/>
      </rPr>
      <t>inter alia</t>
    </r>
    <r>
      <rPr>
        <sz val="10"/>
        <color rgb="FF002060"/>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</si>
  <si>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2060"/>
        <rFont val="Trebuchet MS"/>
        <family val="2"/>
      </rPr>
      <t>MicroSave</t>
    </r>
    <r>
      <rPr>
        <sz val="10"/>
        <color rgb="FF00206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</si>
  <si>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rgb="FF002060"/>
        <rFont val="Trebuchet MS"/>
        <family val="2"/>
      </rPr>
      <t>MicroSave’s </t>
    </r>
    <r>
      <rPr>
        <sz val="10"/>
        <color rgb="FF002060"/>
        <rFont val="Trebuchet MS"/>
        <family val="2"/>
      </rPr>
      <t>MI4ID approach uses to understand customers financial behaviour</t>
    </r>
  </si>
  <si>
    <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002060"/>
        <rFont val="Trebuchet MS"/>
        <family val="2"/>
      </rPr>
      <t>MicroSave</t>
    </r>
    <r>
      <rPr>
        <sz val="10"/>
        <color rgb="FF002060"/>
        <rFont val="Trebuchet MS"/>
        <family val="2"/>
      </rPr>
      <t> in supporting financial service providers in Africa.</t>
    </r>
  </si>
  <si>
    <t>India’s next social protection is care, not cash</t>
  </si>
  <si>
    <r>
      <rPr>
        <sz val="10"/>
        <color rgb="FF002060"/>
        <rFont val="Trebuchet MS"/>
        <family val="2"/>
      </rPr>
      <t>Arshi Aadil and Shobhit Mishra</t>
    </r>
    <r>
      <rPr>
        <sz val="10"/>
        <color theme="3"/>
        <rFont val="Trebuchet MS"/>
        <family val="2"/>
      </rPr>
      <t xml:space="preserve">
</t>
    </r>
  </si>
  <si>
    <t>  The Hindustan Times</t>
  </si>
  <si>
    <t>From borrowers to builders: Women and India’s evolving credit market</t>
  </si>
  <si>
    <t>Leveraging the currency of trust: How social commerce data can inform risk management and bring formal finance to women-led MSMEs</t>
  </si>
  <si>
    <t>NITI Aayog</t>
  </si>
  <si>
    <t> NextBillion</t>
  </si>
  <si>
    <t>Nabilla Prita Fiandini and Putu Monica Christy</t>
  </si>
  <si>
    <t>Why female agents are the litmus test for Nigeria’s new agency banking guidelines</t>
  </si>
  <si>
    <t>John Olawole Martins, Mitali and Brenda Oyugi</t>
  </si>
  <si>
    <t>How community-led MSMEs and women entrepreneurs can rebuild rural distribution networks</t>
  </si>
  <si>
    <t>Shubha Bhanu and Ashwin Shukla</t>
  </si>
  <si>
    <t>A district-led model for advancing financial inclusion from the ground up</t>
  </si>
  <si>
    <t>Madhusan Hulgi (IAS), Mimansa Khanna, Ravi Prakash Kaushal and Sushma Kaw</t>
  </si>
  <si>
    <t>Driving transformative financial inclusion across India’s aspirational blocks by unlocking the power of last-mile convergence</t>
  </si>
  <si>
    <t>Sushma Kaw and Ravi Prakash Kaushal</t>
  </si>
  <si>
    <t>Powering financial inclusion through data intelligence at local levels</t>
  </si>
  <si>
    <t>Saloni Gupta, Gayatri Pandey and Shrabasti Dhar</t>
  </si>
  <si>
    <t>Empowering Africa’s blue economy: Fish production and sustainable fisheries in Africa</t>
  </si>
  <si>
    <t>How have Uganda’s micro and small enterprises recovered, adapted, and grown after COVID-19?</t>
  </si>
  <si>
    <t>MSE Recovery Fund: Recovery and Survivability Report 2025 builds on the 2023 baseline study to examine the impact of the Mastercard Foundation MSE Recovery Fund on financial access, business continuity, profitability, employment, and enterprise resilience among Uganda’s MSEs, with a particular focus on businesses led by women, youth, refugees, and persons with disabilities (PWDs).</t>
  </si>
  <si>
    <t>Financial Sector Deepening Uganda</t>
  </si>
  <si>
    <t>Designing and scaling Instant Payment Systems: Lessons from Nigeria and Ethiopia</t>
  </si>
  <si>
    <t>by Akshat Pathak, Disha Bhavnani, Brenda Oyugi, Pallavi Balakrishnan, David Matthew and Shrabasti Dhar</t>
  </si>
  <si>
    <t>Instant payment systems (IPS) are expanding across Africa. In this process, they have changed how money moves between people, businesses, and governments. This paper examines the design, governance, and inclusion challenges that emerge from establishing IPSs in emerging markets and provides evidence-based recommendations for policymakers and operators to help IPSs scale.</t>
  </si>
  <si>
    <t>Rwanda FinScope 2024: Digital financial services thematic report</t>
  </si>
  <si>
    <t>by Access to Finance Rwanda</t>
  </si>
  <si>
    <t>The report highlights significant growth in digital financial inclusion, driven largely by mobile money and digital payments. Although 85.3% of adults are digitally included, barriers such as limited device access, gender gaps, and rural exclusion persist.</t>
  </si>
  <si>
    <t>Console, Code, Change: Tapping the power of video games for social impact</t>
  </si>
  <si>
    <t>by Akhand Tiwari and Poulomi Ghosh</t>
  </si>
  <si>
    <t>How households shape gender equality outcomes</t>
  </si>
  <si>
    <t>Scammed by design: Why ordinary people fall for fraud and why awareness campaigns will not fix it</t>
  </si>
  <si>
    <t>Surbhi Sood and Bhavya Mitra</t>
  </si>
  <si>
    <t>The operational machine: How financial fraud is industrialized, scripted, and monetized before protection systems can respond</t>
  </si>
  <si>
    <t>Surbhi Sood and Srinivas Balakrishnan</t>
  </si>
  <si>
    <t>Who is responsible? Closing the accountability gap in financial fraud prevention</t>
  </si>
  <si>
    <t>Bhavya Mitra and Priyal Advani</t>
  </si>
  <si>
    <t>Why Bangladesh’s supply chains still run on cash despite digitization</t>
  </si>
  <si>
    <t>Md Farista Andalib and Alvina Zafar</t>
  </si>
  <si>
    <t>Building the rails for B2B digitization in Bangladesh’s retail supply chains</t>
  </si>
  <si>
    <t>Digital financial inclusion in Rwanda: Successes, usage gaps, and the next priorities</t>
  </si>
  <si>
    <t>Dennis Kuria, Charles Eloi Cyusa and Violet Njeri Kamau</t>
  </si>
  <si>
    <t>Going beyond borders: Digital finance as a catalyst for financial inclusion</t>
  </si>
  <si>
    <t>In this podcast, Jerry Macharia and Jackson Kamau unpack Rwanda’s FinScope 2024 DFS Report. They discuss how interoperability, gender inclusion, climate-smart finance, and responsible AI can drive meaningful financial inclusion and connect Rwanda’s progress to the 1.4 billion adults globally still left out of formal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</si>
</sst>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F800]dddd\,\ mmmm\ dd\,\ yyyy"/>
  </numFmts>
  <fonts count="61">
    <font>
      <sz val="11"/>
      <color rgb="FF000000"/>
      <name val="Calibri"/>
      <charset val="134"/>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i/>
      <sz val="10"/>
      <color theme="1"/>
      <name val="Trebuchet MS"/>
      <family val="2"/>
    </font>
    <font>
      <sz val="10"/>
      <color rgb="FF000000"/>
      <name val="Trebuchet MS"/>
      <family val="2"/>
    </font>
    <font>
      <sz val="10"/>
      <color rgb="FF000000"/>
      <name val="Calibri"/>
      <family val="2"/>
    </font>
    <font>
      <sz val="10"/>
      <name val="Calibri"/>
      <family val="2"/>
    </font>
    <font>
      <sz val="10"/>
      <name val="Trebuchet MS"/>
      <family val="2"/>
    </font>
    <font>
      <sz val="10"/>
      <color rgb="FF002060"/>
      <name val="Trebuchet MS"/>
      <family val="2"/>
    </font>
    <font>
      <sz val="10"/>
      <color rgb="FF002060"/>
      <name val="Calibri"/>
      <family val="2"/>
    </font>
    <font>
      <sz val="11"/>
      <color theme="1"/>
      <name val="Calibri"/>
      <family val="2"/>
    </font>
    <font>
      <sz val="11"/>
      <color rgb="FF000000"/>
      <name val="Trebuchet MS"/>
      <family val="2"/>
    </font>
    <font>
      <u/>
      <sz val="11"/>
      <color rgb="FF002060"/>
      <name val="Trebuchet MS"/>
      <family val="2"/>
    </font>
    <font>
      <u/>
      <sz val="10"/>
      <color rgb="FF000000"/>
      <name val="Trebuchet MS"/>
      <family val="2"/>
    </font>
    <font>
      <u/>
      <sz val="10"/>
      <color rgb="FF0000FF"/>
      <name val="Trebuchet MS"/>
      <family val="2"/>
    </font>
    <font>
      <u/>
      <sz val="10"/>
      <name val="Trebuchet MS"/>
      <family val="2"/>
    </font>
    <font>
      <u/>
      <sz val="10"/>
      <color theme="1"/>
      <name val="Trebuchet MS"/>
      <family val="2"/>
    </font>
    <font>
      <i/>
      <sz val="10"/>
      <color rgb="FF000000"/>
      <name val="Trebuchet MS"/>
      <family val="2"/>
    </font>
    <font>
      <sz val="10"/>
      <color rgb="FF151515"/>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sz val="11"/>
      <color theme="1"/>
      <name val="Trebuchet MS"/>
      <family val="2"/>
    </font>
    <font>
      <sz val="11"/>
      <color rgb="FF002060"/>
      <name val="Trebuchet MS"/>
      <family val="2"/>
    </font>
    <font>
      <sz val="10"/>
      <color rgb="FF284181"/>
      <name val="Trebuchet MS"/>
      <family val="2"/>
    </font>
    <font>
      <sz val="10"/>
      <color rgb="FFFF0000"/>
      <name val="Trebuchet MS"/>
      <family val="2"/>
    </font>
    <font>
      <sz val="10"/>
      <color theme="5" tint="-0.249977111117893"/>
      <name val="Trebuchet MS"/>
      <family val="2"/>
    </font>
    <font>
      <sz val="10"/>
      <color rgb="FF000000"/>
      <name val="Trebuchet MS"/>
      <family val="2"/>
    </font>
    <font>
      <i/>
      <sz val="10"/>
      <color rgb="FF002060"/>
      <name val="Trebuchet MS"/>
      <family val="2"/>
    </font>
    <font>
      <sz val="10"/>
      <color rgb="FF002060"/>
      <name val="Trebuchet MS"/>
      <family val="2"/>
    </font>
    <font>
      <u/>
      <sz val="11"/>
      <color rgb="FF151515"/>
      <name val="Trebuchet MS"/>
      <family val="2"/>
    </font>
    <font>
      <i/>
      <u/>
      <sz val="11"/>
      <color rgb="FF002060"/>
      <name val="Trebuchet MS"/>
      <family val="2"/>
    </font>
    <font>
      <u/>
      <sz val="11"/>
      <color rgb="FF000000"/>
      <name val="Trebuchet MS"/>
      <family val="2"/>
    </font>
    <font>
      <sz val="11"/>
      <color rgb="FF151515"/>
      <name val="Trebuchet MS"/>
      <family val="2"/>
    </font>
    <font>
      <u/>
      <sz val="11"/>
      <color theme="1"/>
      <name val="Trebuchet MS"/>
      <family val="2"/>
    </font>
    <font>
      <sz val="11"/>
      <name val="Trebuchet MS"/>
      <family val="2"/>
    </font>
    <font>
      <sz val="10"/>
      <color theme="8" tint="-0.249977111117893"/>
      <name val="Trebuchet MS"/>
      <family val="2"/>
    </font>
    <font>
      <u/>
      <sz val="11"/>
      <color theme="8" tint="-0.499984740745262"/>
      <name val="Trebuchet MS"/>
      <family val="2"/>
    </font>
    <font>
      <sz val="10"/>
      <color rgb="FF002060"/>
      <name val="Calibri"/>
      <family val="2"/>
      <scheme val="major"/>
    </font>
    <font>
      <b/>
      <sz val="11"/>
      <color theme="3"/>
      <name val="Trebuchet MS"/>
      <family val="2"/>
    </font>
    <font>
      <b/>
      <sz val="10"/>
      <color theme="3"/>
      <name val="Trebuchet MS"/>
      <family val="2"/>
    </font>
    <font>
      <sz val="10"/>
      <color theme="3"/>
      <name val="Trebuchet MS"/>
      <family val="2"/>
    </font>
    <font>
      <sz val="11"/>
      <color theme="3"/>
      <name val="Calibri"/>
      <family val="2"/>
    </font>
    <font>
      <sz val="10"/>
      <color theme="3"/>
      <name val="Calibri"/>
      <family val="2"/>
      <scheme val="major"/>
    </font>
    <font>
      <sz val="11"/>
      <color theme="3"/>
      <name val="Trebuchet MS"/>
      <family val="2"/>
    </font>
    <font>
      <sz val="10"/>
      <color theme="3"/>
      <name val="Calibri"/>
      <family val="2"/>
    </font>
    <font>
      <sz val="11"/>
      <color theme="8" tint="-0.499984740745262"/>
      <name val="Trebuchet MS"/>
      <family val="2"/>
    </font>
    <font>
      <sz val="11"/>
      <color theme="8" tint="-0.499984740745262"/>
      <name val="Calibri"/>
      <family val="2"/>
    </font>
    <font>
      <sz val="10"/>
      <color theme="8" tint="-0.499984740745262"/>
      <name val="Trebuchet MS"/>
      <family val="2"/>
    </font>
    <font>
      <u/>
      <sz val="10"/>
      <color theme="8" tint="-0.499984740745262"/>
      <name val="Trebuchet MS"/>
      <family val="2"/>
    </font>
  </fonts>
  <fills count="13">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rgb="FFFBD4B4"/>
      </patternFill>
    </fill>
    <fill>
      <patternFill patternType="solid">
        <fgColor theme="0"/>
        <bgColor indexed="64"/>
      </patternFill>
    </fill>
    <fill>
      <patternFill patternType="solid">
        <fgColor theme="0"/>
        <bgColor rgb="FFFFFFFF"/>
      </patternFill>
    </fill>
    <fill>
      <patternFill patternType="solid">
        <fgColor theme="2"/>
        <bgColor rgb="FFFBD4B4"/>
      </patternFill>
    </fill>
    <fill>
      <patternFill patternType="solid">
        <fgColor theme="2"/>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auto="1"/>
      </bottom>
      <diagonal/>
    </border>
    <border>
      <left/>
      <right/>
      <top style="thin">
        <color rgb="FF000000"/>
      </top>
      <bottom style="thin">
        <color rgb="FF000000"/>
      </bottom>
      <diagonal/>
    </border>
    <border>
      <left style="thin">
        <color rgb="FF000000"/>
      </left>
      <right/>
      <top style="thin">
        <color auto="1"/>
      </top>
      <bottom style="thin">
        <color rgb="FF000000"/>
      </bottom>
      <diagonal/>
    </border>
    <border>
      <left/>
      <right/>
      <top/>
      <bottom style="thin">
        <color rgb="FF000000"/>
      </bottom>
      <diagonal/>
    </border>
  </borders>
  <cellStyleXfs count="2">
    <xf numFmtId="0" fontId="0" fillId="0" borderId="0"/>
    <xf numFmtId="0" fontId="6" fillId="0" borderId="0" applyNumberFormat="0" applyFill="0" applyBorder="0" applyAlignment="0" applyProtection="0"/>
  </cellStyleXfs>
  <cellXfs count="567">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xf>
    <xf numFmtId="0" fontId="5" fillId="0" borderId="0" xfId="0" applyFont="1"/>
    <xf numFmtId="0" fontId="3" fillId="0" borderId="0" xfId="0" applyFont="1" applyAlignment="1">
      <alignment horizontal="left" vertical="top"/>
    </xf>
    <xf numFmtId="0" fontId="2" fillId="0" borderId="1" xfId="0" applyFont="1" applyBorder="1" applyAlignment="1">
      <alignment horizontal="left" vertical="top"/>
    </xf>
    <xf numFmtId="0" fontId="3" fillId="0" borderId="1" xfId="0" applyFont="1" applyBorder="1" applyAlignment="1">
      <alignment horizontal="left" vertical="top"/>
    </xf>
    <xf numFmtId="0" fontId="0" fillId="0" borderId="0" xfId="0" applyAlignment="1">
      <alignment wrapText="1"/>
    </xf>
    <xf numFmtId="0" fontId="0" fillId="0" borderId="0" xfId="0" applyAlignment="1">
      <alignment horizontal="left" vertical="top"/>
    </xf>
    <xf numFmtId="0" fontId="2"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xf>
    <xf numFmtId="0" fontId="5" fillId="0" borderId="0" xfId="0" applyFont="1" applyAlignment="1">
      <alignment horizontal="left" vertical="top"/>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horizontal="left" vertical="top" wrapText="1"/>
    </xf>
    <xf numFmtId="0" fontId="13" fillId="0" borderId="0" xfId="0" applyFont="1" applyAlignment="1">
      <alignment horizontal="left" vertical="top"/>
    </xf>
    <xf numFmtId="0" fontId="3" fillId="0" borderId="0" xfId="0" applyFont="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xf>
    <xf numFmtId="0" fontId="1" fillId="0" borderId="8" xfId="0" applyFont="1" applyBorder="1" applyAlignment="1">
      <alignment horizontal="left" vertical="top"/>
    </xf>
    <xf numFmtId="0" fontId="2" fillId="0" borderId="3" xfId="0"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14" fillId="0" borderId="0" xfId="0" applyFont="1" applyAlignment="1">
      <alignment vertical="top"/>
    </xf>
    <xf numFmtId="0" fontId="15" fillId="0" borderId="1" xfId="0" applyFont="1" applyBorder="1" applyAlignment="1">
      <alignment horizontal="left" vertical="top"/>
    </xf>
    <xf numFmtId="0" fontId="16" fillId="0" borderId="1"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vertical="top" wrapText="1"/>
    </xf>
    <xf numFmtId="0" fontId="18" fillId="0" borderId="1" xfId="0" applyFont="1" applyBorder="1" applyAlignment="1">
      <alignment horizontal="left" vertical="top" wrapText="1"/>
    </xf>
    <xf numFmtId="0" fontId="19" fillId="0" borderId="1" xfId="1" applyFont="1" applyBorder="1" applyAlignment="1">
      <alignment horizontal="left" vertical="top" wrapText="1"/>
    </xf>
    <xf numFmtId="0" fontId="8" fillId="0" borderId="0" xfId="0" applyFont="1" applyAlignment="1">
      <alignment vertical="top" wrapText="1"/>
    </xf>
    <xf numFmtId="0" fontId="11" fillId="0" borderId="0" xfId="0" applyFont="1" applyAlignment="1">
      <alignment vertical="top" wrapText="1"/>
    </xf>
    <xf numFmtId="0" fontId="8" fillId="0" borderId="2" xfId="0" applyFont="1" applyBorder="1" applyAlignment="1">
      <alignment vertical="top"/>
    </xf>
    <xf numFmtId="0" fontId="9" fillId="0" borderId="2" xfId="0" applyFont="1" applyBorder="1" applyAlignment="1">
      <alignment vertical="top"/>
    </xf>
    <xf numFmtId="0" fontId="21" fillId="0" borderId="2" xfId="0" applyFont="1" applyBorder="1" applyAlignment="1">
      <alignment vertical="top" wrapText="1"/>
    </xf>
    <xf numFmtId="0" fontId="21" fillId="0" borderId="2" xfId="0" applyFont="1" applyBorder="1" applyAlignment="1">
      <alignment vertical="top"/>
    </xf>
    <xf numFmtId="0" fontId="12" fillId="0" borderId="0" xfId="0" applyFont="1" applyAlignment="1">
      <alignment vertical="top" wrapText="1"/>
    </xf>
    <xf numFmtId="0" fontId="8" fillId="0" borderId="0" xfId="0" applyFont="1" applyAlignment="1">
      <alignment horizontal="left" vertical="center" wrapText="1"/>
    </xf>
    <xf numFmtId="0" fontId="22" fillId="0" borderId="1" xfId="0" applyFont="1" applyBorder="1" applyAlignment="1">
      <alignment horizontal="left" vertical="top" wrapText="1"/>
    </xf>
    <xf numFmtId="0" fontId="18" fillId="0" borderId="1" xfId="0" applyFont="1" applyBorder="1" applyAlignment="1">
      <alignment horizontal="left" vertical="center" wrapText="1"/>
    </xf>
    <xf numFmtId="15" fontId="22" fillId="0" borderId="1" xfId="0" applyNumberFormat="1" applyFont="1" applyBorder="1" applyAlignment="1">
      <alignment horizontal="left" vertical="top" wrapText="1"/>
    </xf>
    <xf numFmtId="0" fontId="22" fillId="4" borderId="1" xfId="0" applyFont="1" applyFill="1" applyBorder="1" applyAlignment="1">
      <alignment horizontal="left" vertical="top" wrapText="1"/>
    </xf>
    <xf numFmtId="0" fontId="23" fillId="4" borderId="1" xfId="0" applyFont="1" applyFill="1" applyBorder="1" applyAlignment="1">
      <alignment horizontal="left" vertical="top" wrapText="1"/>
    </xf>
    <xf numFmtId="0" fontId="23" fillId="4" borderId="0" xfId="0" applyFont="1" applyFill="1" applyAlignment="1">
      <alignment horizontal="left" wrapText="1"/>
    </xf>
    <xf numFmtId="0" fontId="24" fillId="0" borderId="1" xfId="0" applyFont="1" applyBorder="1" applyAlignment="1">
      <alignment horizontal="left" vertical="top" wrapText="1"/>
    </xf>
    <xf numFmtId="0" fontId="22" fillId="0" borderId="1" xfId="0" applyFont="1" applyBorder="1" applyAlignment="1">
      <alignment vertical="top" wrapText="1"/>
    </xf>
    <xf numFmtId="0" fontId="23" fillId="0" borderId="1" xfId="0" applyFont="1" applyBorder="1" applyAlignment="1">
      <alignment horizontal="left" vertical="top" wrapText="1"/>
    </xf>
    <xf numFmtId="0" fontId="22" fillId="0" borderId="3" xfId="0" applyFont="1" applyBorder="1" applyAlignment="1">
      <alignment horizontal="left" vertical="top" wrapText="1"/>
    </xf>
    <xf numFmtId="0" fontId="22" fillId="0" borderId="1" xfId="0" applyFont="1" applyBorder="1" applyAlignment="1">
      <alignment wrapText="1"/>
    </xf>
    <xf numFmtId="0" fontId="22" fillId="0" borderId="0" xfId="0" applyFont="1" applyAlignment="1">
      <alignment wrapText="1"/>
    </xf>
    <xf numFmtId="0" fontId="22" fillId="0" borderId="3" xfId="0" applyFont="1" applyBorder="1" applyAlignment="1">
      <alignment wrapText="1"/>
    </xf>
    <xf numFmtId="0" fontId="23" fillId="4" borderId="1" xfId="0" applyFont="1" applyFill="1" applyBorder="1" applyAlignment="1">
      <alignment horizontal="left" wrapText="1"/>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23" fillId="4" borderId="1" xfId="0" applyFont="1" applyFill="1" applyBorder="1" applyAlignment="1">
      <alignment wrapText="1"/>
    </xf>
    <xf numFmtId="0" fontId="27" fillId="0" borderId="1" xfId="0" applyFont="1" applyBorder="1" applyAlignment="1">
      <alignment wrapText="1"/>
    </xf>
    <xf numFmtId="0" fontId="19" fillId="0" borderId="1" xfId="0" applyFont="1" applyBorder="1" applyAlignment="1">
      <alignment wrapText="1"/>
    </xf>
    <xf numFmtId="0" fontId="19" fillId="0" borderId="0" xfId="1" applyFont="1" applyAlignment="1">
      <alignment wrapText="1"/>
    </xf>
    <xf numFmtId="0" fontId="19" fillId="0" borderId="1" xfId="1" applyFont="1" applyBorder="1" applyAlignment="1">
      <alignment horizontal="left" wrapText="1"/>
    </xf>
    <xf numFmtId="0" fontId="19" fillId="0" borderId="0" xfId="1" applyFont="1" applyAlignment="1">
      <alignment horizontal="left" wrapText="1"/>
    </xf>
    <xf numFmtId="0" fontId="19" fillId="0" borderId="8" xfId="1" applyFont="1" applyBorder="1" applyAlignment="1">
      <alignment horizontal="left" vertical="top" wrapText="1"/>
    </xf>
    <xf numFmtId="0" fontId="19" fillId="0" borderId="1" xfId="1" applyFont="1" applyFill="1" applyBorder="1" applyAlignment="1">
      <alignment horizontal="left" vertical="top" wrapText="1"/>
    </xf>
    <xf numFmtId="0" fontId="19" fillId="0" borderId="1" xfId="1" applyFont="1" applyFill="1" applyBorder="1" applyAlignment="1">
      <alignment vertical="top" wrapText="1"/>
    </xf>
    <xf numFmtId="0" fontId="19" fillId="0" borderId="1" xfId="1" applyFont="1" applyBorder="1" applyAlignment="1">
      <alignment vertical="top" wrapText="1"/>
    </xf>
    <xf numFmtId="0" fontId="22" fillId="0" borderId="8" xfId="0" applyFont="1" applyBorder="1" applyAlignment="1">
      <alignment vertical="top" wrapText="1"/>
    </xf>
    <xf numFmtId="0" fontId="28" fillId="0" borderId="2" xfId="1" applyFont="1" applyBorder="1" applyAlignment="1">
      <alignment horizontal="left" vertical="top" wrapText="1"/>
    </xf>
    <xf numFmtId="0" fontId="31" fillId="0" borderId="0" xfId="0" applyFont="1"/>
    <xf numFmtId="0" fontId="2" fillId="0" borderId="1" xfId="1" applyFont="1" applyBorder="1" applyAlignment="1">
      <alignment horizontal="left" vertical="top" wrapText="1"/>
    </xf>
    <xf numFmtId="172" fontId="4" fillId="0" borderId="1" xfId="0" applyNumberFormat="1" applyFont="1" applyBorder="1" applyAlignment="1">
      <alignment horizontal="left" wrapText="1"/>
    </xf>
    <xf numFmtId="172" fontId="1" fillId="0" borderId="0" xfId="0" applyNumberFormat="1" applyFont="1" applyAlignment="1">
      <alignment horizontal="left" wrapText="1"/>
    </xf>
    <xf numFmtId="0" fontId="0" fillId="0" borderId="0" xfId="0" applyAlignment="1">
      <alignment horizontal="left"/>
    </xf>
    <xf numFmtId="172" fontId="0" fillId="0" borderId="0" xfId="0" applyNumberFormat="1" applyAlignment="1">
      <alignment horizontal="left"/>
    </xf>
    <xf numFmtId="0" fontId="30" fillId="0" borderId="0" xfId="0" applyFont="1" applyAlignment="1">
      <alignment horizontal="left"/>
    </xf>
    <xf numFmtId="0" fontId="31" fillId="0" borderId="0" xfId="0" applyFont="1" applyAlignment="1">
      <alignment horizontal="left"/>
    </xf>
    <xf numFmtId="172" fontId="31" fillId="0" borderId="0" xfId="0" applyNumberFormat="1" applyFont="1" applyAlignment="1">
      <alignment horizontal="left"/>
    </xf>
    <xf numFmtId="0" fontId="32" fillId="0" borderId="0" xfId="0" applyFont="1" applyAlignment="1">
      <alignment wrapText="1"/>
    </xf>
    <xf numFmtId="0" fontId="16" fillId="0" borderId="2" xfId="1" applyFont="1" applyBorder="1" applyAlignment="1">
      <alignment wrapText="1"/>
    </xf>
    <xf numFmtId="0" fontId="1" fillId="0" borderId="5" xfId="0" applyFont="1" applyBorder="1" applyAlignment="1">
      <alignment horizontal="left" vertical="top" wrapText="1"/>
    </xf>
    <xf numFmtId="164" fontId="3" fillId="0" borderId="2" xfId="0" applyNumberFormat="1" applyFont="1" applyBorder="1" applyAlignment="1">
      <alignment vertical="top" wrapText="1"/>
    </xf>
    <xf numFmtId="0" fontId="3" fillId="0" borderId="2"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top" wrapText="1"/>
    </xf>
    <xf numFmtId="0" fontId="16" fillId="0" borderId="2" xfId="1" applyFont="1" applyBorder="1" applyAlignment="1">
      <alignment vertical="top" wrapText="1"/>
    </xf>
    <xf numFmtId="0" fontId="4" fillId="0" borderId="2" xfId="0" applyFont="1" applyBorder="1" applyAlignment="1">
      <alignment horizontal="left" vertical="top"/>
    </xf>
    <xf numFmtId="0" fontId="2" fillId="0" borderId="2" xfId="1" applyFont="1" applyBorder="1" applyAlignment="1">
      <alignment horizontal="left" vertical="top"/>
    </xf>
    <xf numFmtId="0" fontId="16" fillId="0" borderId="2" xfId="1" applyFont="1" applyBorder="1" applyAlignment="1">
      <alignment horizontal="left" vertical="top" wrapText="1"/>
    </xf>
    <xf numFmtId="0" fontId="15" fillId="9" borderId="0" xfId="0" applyFont="1" applyFill="1" applyAlignment="1">
      <alignment horizontal="left"/>
    </xf>
    <xf numFmtId="0" fontId="15" fillId="0" borderId="0" xfId="0" applyFont="1"/>
    <xf numFmtId="0" fontId="31" fillId="0" borderId="0" xfId="0" applyFont="1" applyAlignment="1">
      <alignment horizontal="left" wrapText="1"/>
    </xf>
    <xf numFmtId="0" fontId="0" fillId="0" borderId="0" xfId="0" applyAlignment="1">
      <alignment horizontal="left" wrapText="1"/>
    </xf>
    <xf numFmtId="0" fontId="35" fillId="0" borderId="1" xfId="0" applyFont="1" applyBorder="1" applyAlignment="1">
      <alignment vertical="top" wrapText="1"/>
    </xf>
    <xf numFmtId="0" fontId="35" fillId="0" borderId="1" xfId="0" applyFont="1" applyBorder="1" applyAlignment="1">
      <alignment wrapText="1"/>
    </xf>
    <xf numFmtId="0" fontId="35" fillId="0" borderId="0" xfId="0" applyFont="1" applyAlignment="1">
      <alignment wrapText="1"/>
    </xf>
    <xf numFmtId="0" fontId="35" fillId="0" borderId="0" xfId="0" applyFont="1" applyAlignment="1">
      <alignment horizontal="left" vertical="top"/>
    </xf>
    <xf numFmtId="14" fontId="8" fillId="0" borderId="0" xfId="0" applyNumberFormat="1" applyFont="1" applyAlignment="1">
      <alignment horizontal="left" vertical="top"/>
    </xf>
    <xf numFmtId="14" fontId="3" fillId="0" borderId="8" xfId="0" applyNumberFormat="1" applyFont="1" applyBorder="1" applyAlignment="1">
      <alignment horizontal="left" vertical="top"/>
    </xf>
    <xf numFmtId="0" fontId="2" fillId="0" borderId="2" xfId="0" applyFont="1" applyBorder="1" applyAlignment="1">
      <alignment horizontal="left" vertical="top"/>
    </xf>
    <xf numFmtId="0" fontId="0" fillId="9" borderId="2" xfId="0" applyFill="1" applyBorder="1" applyAlignment="1">
      <alignment horizontal="left"/>
    </xf>
    <xf numFmtId="0" fontId="0" fillId="9" borderId="18" xfId="0" applyFill="1" applyBorder="1" applyAlignment="1">
      <alignment horizontal="left"/>
    </xf>
    <xf numFmtId="0" fontId="36" fillId="0" borderId="1" xfId="0" applyFont="1" applyBorder="1" applyAlignment="1">
      <alignment horizontal="left" vertical="top" wrapText="1"/>
    </xf>
    <xf numFmtId="0" fontId="36" fillId="0" borderId="8" xfId="0" applyFont="1" applyBorder="1" applyAlignment="1">
      <alignment horizontal="left" vertical="top" wrapText="1"/>
    </xf>
    <xf numFmtId="0" fontId="36" fillId="0" borderId="0" xfId="0" applyFont="1" applyAlignment="1">
      <alignment horizontal="left" vertical="top"/>
    </xf>
    <xf numFmtId="0" fontId="37" fillId="0" borderId="1" xfId="0" applyFont="1" applyBorder="1" applyAlignment="1">
      <alignment wrapText="1"/>
    </xf>
    <xf numFmtId="0" fontId="1" fillId="0" borderId="0" xfId="0" applyFont="1" applyAlignment="1">
      <alignment wrapText="1"/>
    </xf>
    <xf numFmtId="0" fontId="2" fillId="0" borderId="0" xfId="0" applyFont="1" applyAlignment="1">
      <alignment horizontal="left" vertical="top" wrapText="1"/>
    </xf>
    <xf numFmtId="0" fontId="1" fillId="0" borderId="8" xfId="0" applyFont="1" applyBorder="1" applyAlignment="1">
      <alignment horizontal="left" vertical="top" wrapText="1"/>
    </xf>
    <xf numFmtId="0" fontId="4" fillId="0" borderId="1" xfId="0" applyFont="1" applyBorder="1" applyAlignment="1">
      <alignment horizontal="left" vertical="top" wrapText="1"/>
    </xf>
    <xf numFmtId="14" fontId="3" fillId="0" borderId="1" xfId="0" applyNumberFormat="1" applyFont="1" applyBorder="1" applyAlignment="1">
      <alignment horizontal="left" vertical="top"/>
    </xf>
    <xf numFmtId="0" fontId="2" fillId="0" borderId="0" xfId="1" applyFont="1" applyAlignment="1">
      <alignment horizontal="left" vertical="top" wrapText="1"/>
    </xf>
    <xf numFmtId="0" fontId="2" fillId="0" borderId="3" xfId="1" applyFont="1" applyBorder="1" applyAlignment="1">
      <alignment horizontal="left" vertical="top" wrapText="1"/>
    </xf>
    <xf numFmtId="0" fontId="2" fillId="0" borderId="2" xfId="1" applyFont="1" applyBorder="1" applyAlignment="1">
      <alignment horizontal="left" vertical="top" wrapText="1"/>
    </xf>
    <xf numFmtId="0" fontId="2" fillId="0" borderId="5" xfId="1" applyFont="1" applyBorder="1" applyAlignment="1">
      <alignment horizontal="left" vertical="top" wrapText="1"/>
    </xf>
    <xf numFmtId="0" fontId="2" fillId="0" borderId="1" xfId="1" applyFont="1" applyFill="1" applyBorder="1" applyAlignment="1">
      <alignment horizontal="left" vertical="top" wrapText="1"/>
    </xf>
    <xf numFmtId="0" fontId="2" fillId="0" borderId="2" xfId="1" applyFont="1" applyBorder="1" applyAlignment="1">
      <alignment vertical="top" wrapText="1"/>
    </xf>
    <xf numFmtId="0" fontId="3" fillId="0" borderId="7" xfId="0" applyFont="1" applyBorder="1" applyAlignment="1">
      <alignment horizontal="left" vertical="top"/>
    </xf>
    <xf numFmtId="0" fontId="2" fillId="0" borderId="5" xfId="0" applyFont="1" applyBorder="1" applyAlignment="1">
      <alignment horizontal="left" vertical="top"/>
    </xf>
    <xf numFmtId="14" fontId="1"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wrapText="1"/>
    </xf>
    <xf numFmtId="0" fontId="2" fillId="0" borderId="0" xfId="1" applyFont="1" applyAlignment="1">
      <alignment wrapText="1"/>
    </xf>
    <xf numFmtId="0" fontId="2" fillId="0" borderId="0" xfId="1" applyFont="1" applyFill="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left" vertical="center" wrapText="1"/>
    </xf>
    <xf numFmtId="0" fontId="17" fillId="4" borderId="0" xfId="0" applyFont="1" applyFill="1" applyAlignment="1">
      <alignment horizontal="left" wrapText="1"/>
    </xf>
    <xf numFmtId="0" fontId="1" fillId="0" borderId="1" xfId="0" applyFont="1" applyBorder="1" applyAlignment="1">
      <alignment wrapText="1"/>
    </xf>
    <xf numFmtId="0" fontId="1" fillId="0" borderId="1" xfId="0"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wrapText="1"/>
    </xf>
    <xf numFmtId="0" fontId="7" fillId="0" borderId="2"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vertical="top"/>
    </xf>
    <xf numFmtId="0" fontId="2" fillId="0" borderId="2" xfId="0" applyFont="1" applyBorder="1" applyAlignment="1">
      <alignment vertical="top"/>
    </xf>
    <xf numFmtId="0" fontId="3" fillId="0" borderId="2" xfId="0" applyFont="1" applyBorder="1" applyAlignment="1">
      <alignment vertical="top"/>
    </xf>
    <xf numFmtId="0" fontId="2" fillId="0" borderId="2" xfId="0" applyFont="1" applyBorder="1" applyAlignment="1">
      <alignment horizontal="left" vertical="top" wrapText="1"/>
    </xf>
    <xf numFmtId="0" fontId="1" fillId="0" borderId="0" xfId="0" applyFont="1" applyAlignment="1">
      <alignment vertical="top" wrapText="1"/>
    </xf>
    <xf numFmtId="0" fontId="3" fillId="0" borderId="0" xfId="0" applyFont="1" applyAlignment="1">
      <alignment vertical="top" wrapText="1"/>
    </xf>
    <xf numFmtId="0" fontId="1" fillId="0" borderId="7" xfId="0" applyFont="1" applyBorder="1" applyAlignment="1">
      <alignment horizontal="left" vertical="top" wrapText="1"/>
    </xf>
    <xf numFmtId="0" fontId="2" fillId="0" borderId="2" xfId="1" applyFont="1" applyBorder="1" applyAlignment="1">
      <alignment wrapText="1"/>
    </xf>
    <xf numFmtId="0" fontId="2" fillId="0" borderId="2" xfId="0" applyFont="1" applyBorder="1" applyAlignment="1">
      <alignment wrapText="1"/>
    </xf>
    <xf numFmtId="0" fontId="2" fillId="0" borderId="2" xfId="1" applyFont="1" applyFill="1" applyBorder="1"/>
    <xf numFmtId="0" fontId="33" fillId="0" borderId="0" xfId="0" applyFont="1"/>
    <xf numFmtId="0" fontId="20" fillId="4" borderId="1" xfId="0" applyFont="1" applyFill="1" applyBorder="1" applyAlignment="1">
      <alignment horizontal="left" wrapText="1"/>
    </xf>
    <xf numFmtId="0" fontId="3" fillId="0" borderId="0" xfId="0" applyFont="1" applyAlignment="1">
      <alignment wrapText="1"/>
    </xf>
    <xf numFmtId="0" fontId="38" fillId="0" borderId="1" xfId="0" applyFont="1" applyBorder="1" applyAlignment="1">
      <alignment horizontal="left" vertical="top"/>
    </xf>
    <xf numFmtId="0" fontId="39" fillId="0" borderId="1" xfId="0" applyFont="1" applyBorder="1" applyAlignment="1">
      <alignment horizontal="left" vertical="top"/>
    </xf>
    <xf numFmtId="0" fontId="40" fillId="0" borderId="1" xfId="0" applyFont="1" applyBorder="1" applyAlignment="1">
      <alignment horizontal="left" vertical="top"/>
    </xf>
    <xf numFmtId="0" fontId="38" fillId="0" borderId="0" xfId="0" applyFont="1" applyAlignment="1">
      <alignment horizontal="left" vertical="top"/>
    </xf>
    <xf numFmtId="0" fontId="38" fillId="0" borderId="0" xfId="0" applyFont="1" applyAlignment="1">
      <alignment horizontal="left" vertical="top" wrapText="1"/>
    </xf>
    <xf numFmtId="0" fontId="38" fillId="4" borderId="0" xfId="0" applyFont="1" applyFill="1" applyAlignment="1">
      <alignment horizontal="left" vertical="top"/>
    </xf>
    <xf numFmtId="0" fontId="38" fillId="4" borderId="0" xfId="0" applyFont="1" applyFill="1" applyAlignment="1">
      <alignment horizontal="left" vertical="top" wrapText="1"/>
    </xf>
    <xf numFmtId="0" fontId="40" fillId="0" borderId="0" xfId="0" applyFont="1" applyAlignment="1">
      <alignment horizontal="left" vertical="top"/>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172" fontId="4" fillId="0" borderId="1" xfId="0" applyNumberFormat="1" applyFont="1" applyBorder="1" applyAlignment="1">
      <alignment horizontal="left" vertical="top" wrapText="1"/>
    </xf>
    <xf numFmtId="0" fontId="2" fillId="4" borderId="1" xfId="0" applyFont="1" applyFill="1" applyBorder="1" applyAlignment="1">
      <alignment horizontal="left" wrapText="1"/>
    </xf>
    <xf numFmtId="0" fontId="4" fillId="0" borderId="0" xfId="0" applyFont="1" applyAlignment="1">
      <alignment wrapText="1"/>
    </xf>
    <xf numFmtId="0" fontId="16" fillId="0" borderId="7" xfId="1" applyFont="1" applyBorder="1" applyAlignment="1">
      <alignment horizontal="left" vertical="top"/>
    </xf>
    <xf numFmtId="0" fontId="2" fillId="9" borderId="2" xfId="1" applyFont="1" applyFill="1" applyBorder="1" applyAlignment="1">
      <alignment horizontal="left" vertical="top" wrapText="1"/>
    </xf>
    <xf numFmtId="0" fontId="1" fillId="9" borderId="0" xfId="0" applyFont="1" applyFill="1" applyAlignment="1">
      <alignment horizontal="left" vertical="top"/>
    </xf>
    <xf numFmtId="0" fontId="0" fillId="9" borderId="0" xfId="0" applyFill="1" applyAlignment="1">
      <alignment horizontal="left" vertical="top"/>
    </xf>
    <xf numFmtId="0" fontId="4" fillId="0" borderId="0" xfId="0" applyFont="1" applyAlignment="1">
      <alignment vertical="top" wrapText="1"/>
    </xf>
    <xf numFmtId="0" fontId="4" fillId="0" borderId="1" xfId="0" applyFont="1" applyBorder="1" applyAlignment="1">
      <alignment wrapText="1"/>
    </xf>
    <xf numFmtId="0" fontId="4" fillId="0" borderId="2" xfId="0" applyFont="1" applyBorder="1" applyAlignment="1">
      <alignment horizontal="left"/>
    </xf>
    <xf numFmtId="0" fontId="4" fillId="0" borderId="2" xfId="0" applyFont="1" applyBorder="1" applyAlignment="1">
      <alignment horizontal="left" vertical="center" wrapText="1"/>
    </xf>
    <xf numFmtId="172" fontId="4" fillId="0" borderId="2" xfId="0" applyNumberFormat="1" applyFont="1" applyBorder="1" applyAlignment="1">
      <alignment horizontal="left"/>
    </xf>
    <xf numFmtId="0" fontId="4" fillId="0" borderId="2" xfId="0" applyFont="1" applyBorder="1"/>
    <xf numFmtId="0" fontId="40" fillId="0" borderId="5" xfId="0" applyFont="1" applyBorder="1" applyAlignment="1">
      <alignment horizontal="left" vertical="top"/>
    </xf>
    <xf numFmtId="0" fontId="0" fillId="9" borderId="0" xfId="0" applyFill="1"/>
    <xf numFmtId="0" fontId="16" fillId="9" borderId="15" xfId="1" applyFont="1" applyFill="1" applyBorder="1" applyAlignment="1">
      <alignment horizontal="left" vertical="center"/>
    </xf>
    <xf numFmtId="0" fontId="16" fillId="9" borderId="2" xfId="1" applyFont="1" applyFill="1" applyBorder="1" applyAlignment="1">
      <alignment horizontal="left" vertical="center" wrapText="1"/>
    </xf>
    <xf numFmtId="0" fontId="2" fillId="9" borderId="2" xfId="1" applyFont="1" applyFill="1" applyBorder="1" applyAlignment="1">
      <alignment vertical="center"/>
    </xf>
    <xf numFmtId="0" fontId="2" fillId="9" borderId="19" xfId="1" applyFont="1" applyFill="1" applyBorder="1" applyAlignment="1">
      <alignment vertical="center"/>
    </xf>
    <xf numFmtId="0" fontId="9" fillId="9" borderId="0" xfId="0" applyFont="1" applyFill="1" applyAlignment="1">
      <alignment horizontal="left" vertical="top"/>
    </xf>
    <xf numFmtId="0" fontId="2" fillId="9" borderId="2" xfId="1" applyFont="1" applyFill="1" applyBorder="1"/>
    <xf numFmtId="0" fontId="33" fillId="9" borderId="2" xfId="0" applyFont="1" applyFill="1" applyBorder="1"/>
    <xf numFmtId="0" fontId="23" fillId="10" borderId="1" xfId="0" applyFont="1" applyFill="1" applyBorder="1" applyAlignment="1">
      <alignment horizontal="left" wrapText="1"/>
    </xf>
    <xf numFmtId="0" fontId="1" fillId="9" borderId="1" xfId="0" applyFont="1" applyFill="1" applyBorder="1" applyAlignment="1">
      <alignment horizontal="left" vertical="top" wrapText="1"/>
    </xf>
    <xf numFmtId="0" fontId="8" fillId="9" borderId="0" xfId="0" applyFont="1" applyFill="1" applyAlignment="1">
      <alignment wrapText="1"/>
    </xf>
    <xf numFmtId="0" fontId="41" fillId="10" borderId="1" xfId="0" applyFont="1" applyFill="1" applyBorder="1" applyAlignment="1">
      <alignment horizontal="left" wrapText="1"/>
    </xf>
    <xf numFmtId="0" fontId="15" fillId="9" borderId="1" xfId="0" applyFont="1" applyFill="1" applyBorder="1" applyAlignment="1">
      <alignment horizontal="left" vertical="top" wrapText="1"/>
    </xf>
    <xf numFmtId="0" fontId="15" fillId="9" borderId="0" xfId="0" applyFont="1" applyFill="1" applyAlignment="1">
      <alignment wrapText="1"/>
    </xf>
    <xf numFmtId="0" fontId="16" fillId="9" borderId="2" xfId="1" applyFont="1" applyFill="1" applyBorder="1"/>
    <xf numFmtId="0" fontId="16" fillId="9" borderId="2" xfId="1" applyFont="1" applyFill="1" applyBorder="1" applyAlignment="1">
      <alignment vertical="top" wrapText="1"/>
    </xf>
    <xf numFmtId="0" fontId="28" fillId="9" borderId="2" xfId="1" applyFont="1" applyFill="1" applyBorder="1" applyAlignment="1">
      <alignment horizontal="left" vertical="top" wrapText="1"/>
    </xf>
    <xf numFmtId="0" fontId="8" fillId="9" borderId="0" xfId="0" applyFont="1" applyFill="1" applyAlignment="1">
      <alignment horizontal="left" vertical="top"/>
    </xf>
    <xf numFmtId="0" fontId="4" fillId="0" borderId="7" xfId="0" applyFont="1" applyBorder="1" applyAlignment="1">
      <alignment horizontal="left" vertical="center" wrapText="1"/>
    </xf>
    <xf numFmtId="0" fontId="2" fillId="0" borderId="5" xfId="0" applyFont="1" applyBorder="1" applyAlignment="1">
      <alignment horizontal="left" vertical="top" wrapText="1"/>
    </xf>
    <xf numFmtId="14" fontId="4" fillId="0" borderId="2" xfId="0" applyNumberFormat="1" applyFont="1" applyBorder="1" applyAlignment="1">
      <alignment horizontal="left"/>
    </xf>
    <xf numFmtId="0" fontId="33" fillId="0" borderId="1" xfId="0" applyFont="1" applyBorder="1" applyAlignment="1">
      <alignment horizontal="left" vertical="top" wrapText="1"/>
    </xf>
    <xf numFmtId="0" fontId="15" fillId="0" borderId="1" xfId="0" applyFont="1" applyBorder="1" applyAlignment="1">
      <alignment horizontal="left" vertical="top" wrapText="1"/>
    </xf>
    <xf numFmtId="0" fontId="42" fillId="0" borderId="1" xfId="0" applyFont="1" applyBorder="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left" vertical="top" wrapText="1"/>
    </xf>
    <xf numFmtId="0" fontId="16" fillId="0" borderId="1" xfId="0" applyFont="1" applyBorder="1" applyAlignment="1">
      <alignment horizontal="left" vertical="top"/>
    </xf>
    <xf numFmtId="0" fontId="43" fillId="0" borderId="1" xfId="0" applyFont="1" applyBorder="1" applyAlignment="1">
      <alignment horizontal="left" vertical="top" wrapText="1"/>
    </xf>
    <xf numFmtId="0" fontId="15"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14" fontId="15" fillId="0" borderId="1" xfId="0" applyNumberFormat="1" applyFont="1" applyBorder="1" applyAlignment="1">
      <alignment horizontal="left" vertical="top" wrapText="1"/>
    </xf>
    <xf numFmtId="0" fontId="33" fillId="0" borderId="3" xfId="0" applyFont="1" applyBorder="1" applyAlignment="1">
      <alignment horizontal="left" vertical="top" wrapText="1"/>
    </xf>
    <xf numFmtId="0" fontId="16" fillId="0" borderId="3" xfId="0" applyFont="1" applyBorder="1" applyAlignment="1">
      <alignment horizontal="left" vertical="top" wrapText="1"/>
    </xf>
    <xf numFmtId="0" fontId="33" fillId="5" borderId="1" xfId="0" applyFont="1" applyFill="1" applyBorder="1" applyAlignment="1">
      <alignment horizontal="left" vertical="top" wrapText="1"/>
    </xf>
    <xf numFmtId="0" fontId="16" fillId="5" borderId="1" xfId="0" applyFont="1" applyFill="1" applyBorder="1" applyAlignment="1">
      <alignment horizontal="left" vertical="top"/>
    </xf>
    <xf numFmtId="14" fontId="15" fillId="0" borderId="1" xfId="0" applyNumberFormat="1" applyFont="1" applyBorder="1" applyAlignment="1">
      <alignment horizontal="left" vertical="top"/>
    </xf>
    <xf numFmtId="0" fontId="43" fillId="4" borderId="1" xfId="0" applyFont="1" applyFill="1" applyBorder="1" applyAlignment="1">
      <alignment horizontal="left" vertical="top" wrapText="1"/>
    </xf>
    <xf numFmtId="0" fontId="16" fillId="5" borderId="1" xfId="0" applyFont="1" applyFill="1" applyBorder="1" applyAlignment="1">
      <alignment horizontal="left" vertical="top" wrapText="1"/>
    </xf>
    <xf numFmtId="14" fontId="15" fillId="0" borderId="8" xfId="0" applyNumberFormat="1" applyFont="1" applyBorder="1" applyAlignment="1">
      <alignment horizontal="left" vertical="top"/>
    </xf>
    <xf numFmtId="0" fontId="15" fillId="0" borderId="8" xfId="0" applyFont="1" applyBorder="1" applyAlignment="1">
      <alignment horizontal="left" vertical="top" wrapText="1"/>
    </xf>
    <xf numFmtId="0" fontId="15" fillId="0" borderId="0" xfId="0" applyFont="1" applyAlignment="1">
      <alignment horizontal="left" vertical="top"/>
    </xf>
    <xf numFmtId="0" fontId="15" fillId="0" borderId="3" xfId="0" applyFont="1" applyBorder="1" applyAlignment="1">
      <alignment horizontal="left" vertical="top" wrapText="1"/>
    </xf>
    <xf numFmtId="0" fontId="15" fillId="0" borderId="2" xfId="0" applyFont="1" applyBorder="1" applyAlignment="1">
      <alignment horizontal="left" vertical="top" wrapText="1"/>
    </xf>
    <xf numFmtId="0" fontId="34" fillId="0" borderId="1" xfId="0" applyFont="1" applyBorder="1" applyAlignment="1">
      <alignment horizontal="left" vertical="top" wrapText="1"/>
    </xf>
    <xf numFmtId="0" fontId="34" fillId="0" borderId="8" xfId="0" applyFont="1" applyBorder="1" applyAlignment="1">
      <alignment horizontal="left" vertical="top" wrapText="1"/>
    </xf>
    <xf numFmtId="14" fontId="15" fillId="0" borderId="13" xfId="0" applyNumberFormat="1" applyFont="1" applyBorder="1" applyAlignment="1">
      <alignment horizontal="left" vertical="top" wrapText="1"/>
    </xf>
    <xf numFmtId="0" fontId="33" fillId="0" borderId="5" xfId="0" applyFont="1" applyBorder="1" applyAlignment="1">
      <alignment horizontal="left" vertical="top" wrapText="1"/>
    </xf>
    <xf numFmtId="0" fontId="33" fillId="4" borderId="1" xfId="0" applyFont="1" applyFill="1" applyBorder="1" applyAlignment="1">
      <alignment horizontal="left" vertical="top" wrapText="1"/>
    </xf>
    <xf numFmtId="0" fontId="16" fillId="4" borderId="1" xfId="0" applyFont="1" applyFill="1" applyBorder="1" applyAlignment="1">
      <alignment horizontal="left" vertical="top"/>
    </xf>
    <xf numFmtId="14" fontId="15" fillId="4" borderId="1" xfId="0" applyNumberFormat="1" applyFont="1" applyFill="1" applyBorder="1" applyAlignment="1">
      <alignment horizontal="left" vertical="top" wrapText="1"/>
    </xf>
    <xf numFmtId="0" fontId="15" fillId="4" borderId="3" xfId="0" applyFont="1" applyFill="1" applyBorder="1" applyAlignment="1">
      <alignment horizontal="left" vertical="top" wrapText="1"/>
    </xf>
    <xf numFmtId="0" fontId="16" fillId="0" borderId="0" xfId="0" applyFont="1" applyAlignment="1">
      <alignment horizontal="left" vertical="top"/>
    </xf>
    <xf numFmtId="14" fontId="34" fillId="4" borderId="1" xfId="0" applyNumberFormat="1" applyFont="1" applyFill="1" applyBorder="1" applyAlignment="1">
      <alignment horizontal="left" vertical="top"/>
    </xf>
    <xf numFmtId="0" fontId="34" fillId="4" borderId="1" xfId="0" applyFont="1" applyFill="1" applyBorder="1" applyAlignment="1">
      <alignment horizontal="left" vertical="top" wrapText="1"/>
    </xf>
    <xf numFmtId="14" fontId="44" fillId="4" borderId="1" xfId="0" applyNumberFormat="1" applyFont="1" applyFill="1" applyBorder="1" applyAlignment="1">
      <alignment horizontal="left" vertical="top"/>
    </xf>
    <xf numFmtId="0" fontId="34" fillId="0" borderId="1" xfId="0" applyFont="1" applyBorder="1" applyAlignment="1">
      <alignment horizontal="left" vertical="top"/>
    </xf>
    <xf numFmtId="14" fontId="34" fillId="0" borderId="1" xfId="0" applyNumberFormat="1" applyFont="1" applyBorder="1" applyAlignment="1">
      <alignment horizontal="left" vertical="top" wrapText="1"/>
    </xf>
    <xf numFmtId="0" fontId="16" fillId="0" borderId="2" xfId="0" applyFont="1" applyBorder="1" applyAlignment="1">
      <alignment horizontal="left" vertical="top"/>
    </xf>
    <xf numFmtId="0" fontId="15" fillId="4" borderId="2" xfId="0" applyFont="1" applyFill="1" applyBorder="1" applyAlignment="1">
      <alignment horizontal="left" vertical="top" wrapText="1"/>
    </xf>
    <xf numFmtId="0" fontId="43" fillId="4" borderId="2" xfId="0" applyFont="1" applyFill="1" applyBorder="1" applyAlignment="1">
      <alignment horizontal="left" vertical="top" wrapText="1"/>
    </xf>
    <xf numFmtId="14" fontId="15" fillId="0" borderId="7" xfId="0" applyNumberFormat="1" applyFont="1" applyBorder="1" applyAlignment="1">
      <alignment horizontal="left" vertical="top" wrapText="1"/>
    </xf>
    <xf numFmtId="0" fontId="15" fillId="0" borderId="5" xfId="0" applyFont="1" applyBorder="1" applyAlignment="1">
      <alignment horizontal="left" vertical="top" wrapText="1"/>
    </xf>
    <xf numFmtId="0" fontId="45" fillId="4" borderId="1" xfId="0" applyFont="1" applyFill="1" applyBorder="1" applyAlignment="1">
      <alignment horizontal="left" vertical="top" wrapText="1"/>
    </xf>
    <xf numFmtId="0" fontId="16" fillId="0" borderId="0" xfId="1" applyFont="1" applyAlignment="1">
      <alignment horizontal="left" vertical="top" wrapText="1"/>
    </xf>
    <xf numFmtId="0" fontId="16" fillId="0" borderId="3" xfId="1" applyFont="1" applyBorder="1" applyAlignment="1">
      <alignment horizontal="left" vertical="top" wrapText="1"/>
    </xf>
    <xf numFmtId="0" fontId="33" fillId="0" borderId="2" xfId="0" applyFont="1" applyBorder="1" applyAlignment="1">
      <alignment horizontal="left" vertical="top" wrapText="1"/>
    </xf>
    <xf numFmtId="0" fontId="46" fillId="0" borderId="2" xfId="0" applyFont="1" applyBorder="1" applyAlignment="1">
      <alignment horizontal="left" vertical="top" wrapText="1"/>
    </xf>
    <xf numFmtId="0" fontId="16" fillId="0" borderId="5" xfId="1" applyFont="1" applyBorder="1" applyAlignment="1">
      <alignment horizontal="left" vertical="top" wrapText="1"/>
    </xf>
    <xf numFmtId="0" fontId="16" fillId="0" borderId="1" xfId="1" applyFont="1" applyBorder="1" applyAlignment="1">
      <alignment horizontal="left" vertical="top" wrapText="1"/>
    </xf>
    <xf numFmtId="0" fontId="28" fillId="0" borderId="1" xfId="1" applyFont="1" applyBorder="1" applyAlignment="1">
      <alignment horizontal="left" vertical="top" wrapText="1"/>
    </xf>
    <xf numFmtId="14" fontId="46" fillId="0" borderId="2" xfId="0" applyNumberFormat="1" applyFont="1" applyBorder="1" applyAlignment="1">
      <alignment horizontal="left" vertical="top" wrapText="1"/>
    </xf>
    <xf numFmtId="0" fontId="46" fillId="0" borderId="1" xfId="0" applyFont="1" applyBorder="1" applyAlignment="1">
      <alignment horizontal="left" vertical="top" wrapText="1"/>
    </xf>
    <xf numFmtId="0" fontId="16" fillId="0" borderId="1" xfId="1" applyFont="1" applyFill="1" applyBorder="1" applyAlignment="1">
      <alignment horizontal="left" vertical="top" wrapText="1"/>
    </xf>
    <xf numFmtId="0" fontId="28" fillId="0" borderId="1" xfId="1" applyFont="1" applyFill="1" applyBorder="1" applyAlignment="1">
      <alignment horizontal="left" vertical="top" wrapText="1"/>
    </xf>
    <xf numFmtId="0" fontId="28" fillId="0" borderId="0" xfId="1" applyFont="1" applyAlignment="1"/>
    <xf numFmtId="0" fontId="16" fillId="0" borderId="0" xfId="1" applyFont="1" applyFill="1" applyBorder="1"/>
    <xf numFmtId="0" fontId="15" fillId="0" borderId="2" xfId="0" applyFont="1" applyBorder="1" applyAlignment="1">
      <alignment horizontal="left" vertical="top"/>
    </xf>
    <xf numFmtId="0" fontId="28" fillId="0" borderId="0" xfId="1" applyFont="1" applyAlignment="1">
      <alignment horizontal="left" vertical="top"/>
    </xf>
    <xf numFmtId="14" fontId="34" fillId="0" borderId="2" xfId="0" applyNumberFormat="1" applyFont="1" applyBorder="1" applyAlignment="1">
      <alignment horizontal="left" vertical="top" wrapText="1"/>
    </xf>
    <xf numFmtId="14" fontId="46" fillId="0" borderId="15" xfId="0" applyNumberFormat="1" applyFont="1" applyBorder="1" applyAlignment="1">
      <alignment horizontal="left" vertical="top" wrapText="1"/>
    </xf>
    <xf numFmtId="0" fontId="28" fillId="0" borderId="3" xfId="1" applyFont="1" applyBorder="1" applyAlignment="1">
      <alignment horizontal="left" vertical="top" wrapText="1"/>
    </xf>
    <xf numFmtId="0" fontId="33" fillId="9" borderId="2" xfId="0" applyFont="1" applyFill="1" applyBorder="1" applyAlignment="1">
      <alignment horizontal="left" vertical="top" wrapText="1"/>
    </xf>
    <xf numFmtId="14" fontId="46" fillId="9" borderId="2" xfId="0" applyNumberFormat="1" applyFont="1" applyFill="1" applyBorder="1" applyAlignment="1">
      <alignment horizontal="left" vertical="top" wrapText="1"/>
    </xf>
    <xf numFmtId="0" fontId="15" fillId="9" borderId="2" xfId="0" applyFont="1" applyFill="1" applyBorder="1" applyAlignment="1">
      <alignment horizontal="left" vertical="top" wrapText="1"/>
    </xf>
    <xf numFmtId="0" fontId="15" fillId="9" borderId="8" xfId="0" applyFont="1" applyFill="1" applyBorder="1" applyAlignment="1">
      <alignment horizontal="left" vertical="top" wrapText="1"/>
    </xf>
    <xf numFmtId="0" fontId="15" fillId="0" borderId="8" xfId="0" applyFont="1" applyBorder="1" applyAlignment="1">
      <alignment horizontal="left" vertical="top"/>
    </xf>
    <xf numFmtId="0" fontId="47" fillId="9" borderId="1" xfId="0" applyFont="1" applyFill="1" applyBorder="1" applyAlignment="1">
      <alignment vertical="top" wrapText="1"/>
    </xf>
    <xf numFmtId="0" fontId="47" fillId="0" borderId="1" xfId="0" applyFont="1" applyBorder="1" applyAlignment="1">
      <alignment wrapText="1"/>
    </xf>
    <xf numFmtId="0" fontId="47" fillId="9" borderId="1" xfId="0" applyFont="1" applyFill="1" applyBorder="1" applyAlignment="1">
      <alignment wrapText="1"/>
    </xf>
    <xf numFmtId="0" fontId="47" fillId="9" borderId="0" xfId="0" applyFont="1" applyFill="1" applyAlignment="1">
      <alignment wrapText="1"/>
    </xf>
    <xf numFmtId="0" fontId="16" fillId="0" borderId="1" xfId="1" applyFont="1" applyBorder="1" applyAlignment="1">
      <alignment horizontal="left" vertical="top"/>
    </xf>
    <xf numFmtId="0" fontId="16" fillId="0" borderId="3" xfId="1" applyFont="1" applyBorder="1" applyAlignment="1">
      <alignment horizontal="left" vertical="top"/>
    </xf>
    <xf numFmtId="0" fontId="16" fillId="0" borderId="2" xfId="0" applyFont="1" applyBorder="1" applyAlignment="1">
      <alignment vertical="top" wrapText="1"/>
    </xf>
    <xf numFmtId="0" fontId="16" fillId="0" borderId="2" xfId="0" applyFont="1" applyBorder="1" applyAlignment="1">
      <alignment vertical="top"/>
    </xf>
    <xf numFmtId="0" fontId="16" fillId="4" borderId="2" xfId="0" applyFont="1" applyFill="1" applyBorder="1" applyAlignment="1">
      <alignment vertical="top" wrapText="1"/>
    </xf>
    <xf numFmtId="0" fontId="34" fillId="0" borderId="2" xfId="0" applyFont="1" applyBorder="1" applyAlignment="1">
      <alignment vertical="top" wrapText="1"/>
    </xf>
    <xf numFmtId="0" fontId="16" fillId="0" borderId="2" xfId="1" applyFont="1" applyFill="1" applyBorder="1" applyAlignment="1">
      <alignment vertical="top" wrapText="1"/>
    </xf>
    <xf numFmtId="0" fontId="16" fillId="0" borderId="0" xfId="1" applyFont="1" applyAlignment="1">
      <alignment vertical="top" wrapText="1"/>
    </xf>
    <xf numFmtId="0" fontId="2" fillId="0" borderId="1" xfId="1" applyFont="1" applyBorder="1" applyAlignment="1">
      <alignment horizontal="left" wrapText="1"/>
    </xf>
    <xf numFmtId="0" fontId="16" fillId="0" borderId="2" xfId="0" applyFont="1" applyBorder="1" applyAlignment="1">
      <alignment horizontal="left" vertical="top" wrapText="1"/>
    </xf>
    <xf numFmtId="0" fontId="16" fillId="0" borderId="15" xfId="1" applyFont="1" applyBorder="1" applyAlignment="1">
      <alignment vertical="top" wrapText="1"/>
    </xf>
    <xf numFmtId="14" fontId="4" fillId="0" borderId="2" xfId="0" applyNumberFormat="1" applyFont="1" applyBorder="1" applyAlignment="1">
      <alignment horizontal="left" vertical="top"/>
    </xf>
    <xf numFmtId="0" fontId="34" fillId="0" borderId="2" xfId="0" applyFont="1" applyBorder="1" applyAlignment="1">
      <alignment horizontal="left" vertical="top" wrapText="1"/>
    </xf>
    <xf numFmtId="0" fontId="34" fillId="0" borderId="0" xfId="0" applyFont="1" applyAlignment="1">
      <alignment horizontal="left" vertical="top" wrapText="1"/>
    </xf>
    <xf numFmtId="0" fontId="34" fillId="0" borderId="3" xfId="0" applyFont="1" applyBorder="1" applyAlignment="1">
      <alignment horizontal="left" vertical="top" wrapText="1"/>
    </xf>
    <xf numFmtId="0" fontId="34" fillId="5" borderId="1" xfId="0" applyFont="1" applyFill="1" applyBorder="1" applyAlignment="1">
      <alignment horizontal="left" vertical="top" wrapText="1"/>
    </xf>
    <xf numFmtId="14" fontId="34" fillId="0" borderId="7" xfId="0" applyNumberFormat="1" applyFont="1" applyBorder="1" applyAlignment="1">
      <alignment horizontal="left" vertical="top" wrapText="1"/>
    </xf>
    <xf numFmtId="14" fontId="34" fillId="0" borderId="3" xfId="0" applyNumberFormat="1" applyFont="1" applyBorder="1" applyAlignment="1">
      <alignment horizontal="left" vertical="top" wrapText="1"/>
    </xf>
    <xf numFmtId="14" fontId="34" fillId="0" borderId="1" xfId="0" applyNumberFormat="1" applyFont="1" applyBorder="1" applyAlignment="1">
      <alignment horizontal="left" vertical="top"/>
    </xf>
    <xf numFmtId="0" fontId="34" fillId="0" borderId="7" xfId="0" applyFont="1" applyBorder="1" applyAlignment="1">
      <alignment horizontal="left" vertical="top" wrapText="1"/>
    </xf>
    <xf numFmtId="0" fontId="34" fillId="0" borderId="9" xfId="0" applyFont="1" applyBorder="1" applyAlignment="1">
      <alignment horizontal="left" vertical="top" wrapText="1"/>
    </xf>
    <xf numFmtId="14" fontId="34" fillId="0" borderId="13" xfId="0" applyNumberFormat="1" applyFont="1" applyBorder="1" applyAlignment="1">
      <alignment horizontal="left" vertical="top" wrapText="1"/>
    </xf>
    <xf numFmtId="0" fontId="16" fillId="4" borderId="5" xfId="0" applyFont="1" applyFill="1" applyBorder="1" applyAlignment="1">
      <alignment horizontal="left" vertical="top" wrapText="1"/>
    </xf>
    <xf numFmtId="0" fontId="16" fillId="4" borderId="0" xfId="0" applyFont="1" applyFill="1" applyAlignment="1">
      <alignment horizontal="left" vertical="top" wrapText="1"/>
    </xf>
    <xf numFmtId="0" fontId="34" fillId="4" borderId="5" xfId="0" applyFont="1" applyFill="1" applyBorder="1" applyAlignment="1">
      <alignment horizontal="left" vertical="top" wrapText="1"/>
    </xf>
    <xf numFmtId="0" fontId="34" fillId="4" borderId="3" xfId="0" applyFont="1" applyFill="1" applyBorder="1" applyAlignment="1">
      <alignment horizontal="left" vertical="top" wrapText="1"/>
    </xf>
    <xf numFmtId="0" fontId="16" fillId="4" borderId="3" xfId="0" applyFont="1" applyFill="1" applyBorder="1" applyAlignment="1">
      <alignment horizontal="left" vertical="top" wrapText="1"/>
    </xf>
    <xf numFmtId="14" fontId="34" fillId="0" borderId="22" xfId="0" applyNumberFormat="1" applyFont="1" applyBorder="1" applyAlignment="1">
      <alignment horizontal="left" vertical="top" wrapText="1"/>
    </xf>
    <xf numFmtId="0" fontId="34" fillId="4" borderId="2"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4" borderId="8" xfId="0" applyFont="1" applyFill="1" applyBorder="1" applyAlignment="1">
      <alignment horizontal="left" vertical="top" wrapText="1"/>
    </xf>
    <xf numFmtId="14" fontId="34" fillId="0" borderId="8" xfId="0" applyNumberFormat="1" applyFont="1" applyBorder="1" applyAlignment="1">
      <alignment horizontal="left" vertical="top" wrapText="1"/>
    </xf>
    <xf numFmtId="0" fontId="34" fillId="4" borderId="0" xfId="0" applyFont="1" applyFill="1" applyAlignment="1">
      <alignment horizontal="left" vertical="top" wrapText="1"/>
    </xf>
    <xf numFmtId="0" fontId="34" fillId="0" borderId="5" xfId="0" applyFont="1" applyBorder="1" applyAlignment="1">
      <alignment horizontal="left" vertical="top" wrapText="1"/>
    </xf>
    <xf numFmtId="14" fontId="34" fillId="0" borderId="23" xfId="0" applyNumberFormat="1" applyFont="1" applyBorder="1" applyAlignment="1">
      <alignment horizontal="left" vertical="top" wrapText="1"/>
    </xf>
    <xf numFmtId="0" fontId="16" fillId="0" borderId="16" xfId="1" applyFont="1" applyBorder="1" applyAlignment="1">
      <alignment horizontal="left" vertical="top" wrapText="1"/>
    </xf>
    <xf numFmtId="14" fontId="34" fillId="0" borderId="6" xfId="0" applyNumberFormat="1" applyFont="1" applyBorder="1" applyAlignment="1">
      <alignment horizontal="left" vertical="top" wrapText="1"/>
    </xf>
    <xf numFmtId="0" fontId="34" fillId="0" borderId="17" xfId="0" applyFont="1" applyBorder="1" applyAlignment="1">
      <alignment horizontal="left" vertical="top" wrapText="1"/>
    </xf>
    <xf numFmtId="0" fontId="34" fillId="0" borderId="4" xfId="0" applyFont="1" applyBorder="1" applyAlignment="1">
      <alignment horizontal="left" vertical="top" wrapText="1"/>
    </xf>
    <xf numFmtId="0" fontId="16" fillId="0" borderId="4" xfId="1" applyFont="1" applyBorder="1" applyAlignment="1">
      <alignment horizontal="left" vertical="top" wrapText="1"/>
    </xf>
    <xf numFmtId="0" fontId="34" fillId="0" borderId="0" xfId="0" applyFont="1" applyAlignment="1">
      <alignment horizontal="left" vertical="top"/>
    </xf>
    <xf numFmtId="0" fontId="34" fillId="0" borderId="2" xfId="0" applyFont="1" applyBorder="1"/>
    <xf numFmtId="0" fontId="34" fillId="0" borderId="2" xfId="1" applyFont="1" applyBorder="1" applyAlignment="1">
      <alignment vertical="top"/>
    </xf>
    <xf numFmtId="0" fontId="34" fillId="0" borderId="0" xfId="0" applyFont="1"/>
    <xf numFmtId="0" fontId="34" fillId="0" borderId="2" xfId="0" applyFont="1" applyBorder="1" applyAlignment="1">
      <alignment vertical="top"/>
    </xf>
    <xf numFmtId="0" fontId="34" fillId="0" borderId="19" xfId="0" applyFont="1" applyBorder="1" applyAlignment="1">
      <alignment horizontal="left" vertical="top" wrapText="1"/>
    </xf>
    <xf numFmtId="0" fontId="4" fillId="8" borderId="2" xfId="0" applyFont="1" applyFill="1" applyBorder="1" applyAlignment="1">
      <alignment horizontal="left" vertical="top" wrapText="1"/>
    </xf>
    <xf numFmtId="172" fontId="4" fillId="9" borderId="2" xfId="0" applyNumberFormat="1" applyFont="1" applyFill="1" applyBorder="1" applyAlignment="1">
      <alignment horizontal="left" vertical="top" wrapText="1"/>
    </xf>
    <xf numFmtId="14" fontId="4" fillId="8" borderId="2" xfId="0" applyNumberFormat="1" applyFont="1" applyFill="1" applyBorder="1" applyAlignment="1">
      <alignment horizontal="left" vertical="top" wrapText="1"/>
    </xf>
    <xf numFmtId="0" fontId="2" fillId="8" borderId="2" xfId="1" applyFont="1" applyFill="1" applyBorder="1" applyAlignment="1">
      <alignment horizontal="left" vertical="top" wrapText="1"/>
    </xf>
    <xf numFmtId="172" fontId="4" fillId="0" borderId="20" xfId="0" applyNumberFormat="1" applyFont="1" applyBorder="1" applyAlignment="1">
      <alignment horizontal="left"/>
    </xf>
    <xf numFmtId="0" fontId="2" fillId="0" borderId="20" xfId="1" applyFont="1" applyBorder="1" applyAlignment="1">
      <alignment wrapText="1"/>
    </xf>
    <xf numFmtId="0" fontId="4" fillId="0" borderId="2" xfId="0" applyFont="1" applyBorder="1" applyAlignment="1">
      <alignment wrapText="1"/>
    </xf>
    <xf numFmtId="172" fontId="4" fillId="0" borderId="2" xfId="0" applyNumberFormat="1" applyFont="1" applyBorder="1" applyAlignment="1">
      <alignment horizontal="left" vertical="top"/>
    </xf>
    <xf numFmtId="0" fontId="2" fillId="0" borderId="2" xfId="1" applyFont="1" applyBorder="1"/>
    <xf numFmtId="0" fontId="2" fillId="0" borderId="2" xfId="1" applyFont="1" applyBorder="1" applyAlignment="1">
      <alignment vertical="top"/>
    </xf>
    <xf numFmtId="0" fontId="2" fillId="0" borderId="2" xfId="1" applyFont="1" applyBorder="1" applyAlignment="1">
      <alignment horizontal="left" wrapText="1"/>
    </xf>
    <xf numFmtId="0" fontId="4" fillId="0" borderId="2" xfId="0" applyFont="1" applyBorder="1" applyAlignment="1">
      <alignment vertical="top"/>
    </xf>
    <xf numFmtId="172" fontId="4" fillId="0" borderId="2" xfId="0" applyNumberFormat="1" applyFont="1" applyBorder="1" applyAlignment="1">
      <alignment horizontal="left" wrapText="1"/>
    </xf>
    <xf numFmtId="14" fontId="4" fillId="0" borderId="2" xfId="0" applyNumberFormat="1" applyFont="1" applyBorder="1"/>
    <xf numFmtId="0" fontId="4" fillId="0" borderId="2" xfId="0" applyFont="1" applyBorder="1" applyAlignment="1">
      <alignment horizontal="left" wrapText="1"/>
    </xf>
    <xf numFmtId="14" fontId="4" fillId="0" borderId="2" xfId="0" applyNumberFormat="1" applyFont="1" applyBorder="1" applyAlignment="1">
      <alignment horizontal="right" vertical="top"/>
    </xf>
    <xf numFmtId="0" fontId="4" fillId="0" borderId="2" xfId="0" applyFont="1" applyBorder="1" applyAlignment="1">
      <alignment horizontal="left" vertical="top" wrapText="1"/>
    </xf>
    <xf numFmtId="0" fontId="4" fillId="9" borderId="2" xfId="0" applyFont="1" applyFill="1" applyBorder="1" applyAlignment="1">
      <alignment horizontal="left"/>
    </xf>
    <xf numFmtId="0" fontId="4" fillId="9" borderId="2" xfId="0" applyFont="1" applyFill="1" applyBorder="1" applyAlignment="1">
      <alignment horizontal="left" wrapText="1"/>
    </xf>
    <xf numFmtId="172" fontId="4" fillId="9" borderId="2" xfId="0" applyNumberFormat="1" applyFont="1" applyFill="1" applyBorder="1" applyAlignment="1">
      <alignment horizontal="left"/>
    </xf>
    <xf numFmtId="0" fontId="4" fillId="9" borderId="2" xfId="0" applyFont="1" applyFill="1" applyBorder="1" applyAlignment="1">
      <alignment wrapText="1"/>
    </xf>
    <xf numFmtId="0" fontId="4" fillId="9" borderId="2" xfId="0" applyFont="1" applyFill="1" applyBorder="1"/>
    <xf numFmtId="0" fontId="4" fillId="9" borderId="2" xfId="0" applyFont="1" applyFill="1" applyBorder="1" applyAlignment="1">
      <alignment horizontal="left" vertical="center" wrapText="1"/>
    </xf>
    <xf numFmtId="0" fontId="2" fillId="9" borderId="2" xfId="1" applyFont="1" applyFill="1" applyBorder="1" applyAlignment="1">
      <alignment wrapText="1"/>
    </xf>
    <xf numFmtId="172" fontId="4" fillId="0" borderId="2" xfId="0" applyNumberFormat="1" applyFont="1" applyBorder="1" applyAlignment="1">
      <alignment horizontal="left" vertical="center" wrapText="1"/>
    </xf>
    <xf numFmtId="172" fontId="4" fillId="0" borderId="2" xfId="0" applyNumberFormat="1" applyFont="1" applyBorder="1" applyAlignment="1">
      <alignment horizontal="left" vertical="top" wrapText="1"/>
    </xf>
    <xf numFmtId="0" fontId="2" fillId="0" borderId="2" xfId="1" applyFont="1" applyFill="1" applyBorder="1" applyAlignment="1">
      <alignment wrapText="1"/>
    </xf>
    <xf numFmtId="0" fontId="49" fillId="0" borderId="2" xfId="0" applyFont="1" applyBorder="1" applyAlignment="1">
      <alignment horizontal="left"/>
    </xf>
    <xf numFmtId="0" fontId="34" fillId="0" borderId="2" xfId="0" applyFont="1" applyBorder="1" applyAlignment="1">
      <alignment horizontal="left" vertical="center" wrapText="1"/>
    </xf>
    <xf numFmtId="172" fontId="34" fillId="0" borderId="2" xfId="0" applyNumberFormat="1" applyFont="1" applyBorder="1" applyAlignment="1">
      <alignment horizontal="left"/>
    </xf>
    <xf numFmtId="172" fontId="34" fillId="0" borderId="2" xfId="0" applyNumberFormat="1" applyFont="1" applyBorder="1" applyAlignment="1">
      <alignment horizontal="left" vertical="top"/>
    </xf>
    <xf numFmtId="0" fontId="34" fillId="0" borderId="2" xfId="0" applyFont="1" applyBorder="1" applyAlignment="1">
      <alignment horizontal="left"/>
    </xf>
    <xf numFmtId="0" fontId="34" fillId="0" borderId="2" xfId="0" applyFont="1" applyBorder="1" applyAlignment="1">
      <alignment wrapText="1"/>
    </xf>
    <xf numFmtId="172" fontId="4" fillId="0" borderId="1" xfId="0" applyNumberFormat="1" applyFont="1" applyBorder="1" applyAlignment="1">
      <alignment horizontal="left" vertical="center" wrapText="1"/>
    </xf>
    <xf numFmtId="15" fontId="4" fillId="0" borderId="1" xfId="0" applyNumberFormat="1" applyFont="1" applyBorder="1" applyAlignment="1">
      <alignment horizontal="left" vertical="top" wrapText="1"/>
    </xf>
    <xf numFmtId="0" fontId="4" fillId="4" borderId="1" xfId="0" applyFont="1" applyFill="1" applyBorder="1" applyAlignment="1">
      <alignment horizontal="left" vertical="top" wrapText="1"/>
    </xf>
    <xf numFmtId="0" fontId="2" fillId="4" borderId="0" xfId="0" applyFont="1" applyFill="1" applyAlignment="1">
      <alignment horizontal="left" wrapText="1"/>
    </xf>
    <xf numFmtId="172" fontId="4" fillId="4" borderId="1" xfId="0" applyNumberFormat="1" applyFont="1" applyFill="1" applyBorder="1" applyAlignment="1">
      <alignment horizontal="left" wrapText="1"/>
    </xf>
    <xf numFmtId="172" fontId="4" fillId="0" borderId="3" xfId="0" applyNumberFormat="1" applyFont="1" applyBorder="1" applyAlignment="1">
      <alignment horizontal="left" vertical="top" wrapText="1"/>
    </xf>
    <xf numFmtId="0" fontId="4" fillId="0" borderId="3" xfId="0" applyFont="1" applyBorder="1" applyAlignment="1">
      <alignment horizontal="left" vertical="top" wrapText="1"/>
    </xf>
    <xf numFmtId="0" fontId="4" fillId="0" borderId="3" xfId="0" applyFont="1" applyBorder="1" applyAlignment="1">
      <alignment wrapText="1"/>
    </xf>
    <xf numFmtId="172" fontId="4" fillId="0" borderId="24" xfId="0" applyNumberFormat="1" applyFont="1" applyBorder="1" applyAlignment="1">
      <alignment horizontal="left" vertical="top" wrapText="1"/>
    </xf>
    <xf numFmtId="172" fontId="4" fillId="0" borderId="7" xfId="0" applyNumberFormat="1" applyFont="1" applyBorder="1" applyAlignment="1">
      <alignment horizontal="left" vertical="top" wrapText="1"/>
    </xf>
    <xf numFmtId="172" fontId="4" fillId="0" borderId="8" xfId="0" applyNumberFormat="1" applyFont="1" applyBorder="1" applyAlignment="1">
      <alignment horizontal="left" vertical="top" wrapText="1"/>
    </xf>
    <xf numFmtId="172" fontId="4" fillId="0" borderId="0" xfId="0" applyNumberFormat="1" applyFont="1" applyAlignment="1">
      <alignment horizontal="left" vertical="top" wrapText="1"/>
    </xf>
    <xf numFmtId="0" fontId="2" fillId="4" borderId="1" xfId="0" applyFont="1" applyFill="1" applyBorder="1" applyAlignment="1">
      <alignment wrapText="1"/>
    </xf>
    <xf numFmtId="0" fontId="4" fillId="9" borderId="1" xfId="0" applyFont="1" applyFill="1" applyBorder="1" applyAlignment="1">
      <alignment horizontal="left" vertical="center" wrapText="1"/>
    </xf>
    <xf numFmtId="0" fontId="34" fillId="9" borderId="1" xfId="0" applyFont="1" applyFill="1" applyBorder="1" applyAlignment="1">
      <alignment horizontal="left" vertical="center" wrapText="1"/>
    </xf>
    <xf numFmtId="172" fontId="34" fillId="9" borderId="2" xfId="0" applyNumberFormat="1" applyFont="1" applyFill="1" applyBorder="1" applyAlignment="1">
      <alignment horizontal="left"/>
    </xf>
    <xf numFmtId="0" fontId="2" fillId="4" borderId="3" xfId="0" applyFont="1" applyFill="1" applyBorder="1" applyAlignment="1">
      <alignment horizontal="left" wrapText="1"/>
    </xf>
    <xf numFmtId="172" fontId="4" fillId="0" borderId="22" xfId="0" applyNumberFormat="1" applyFont="1" applyBorder="1" applyAlignment="1">
      <alignment horizontal="left" vertical="top" wrapText="1"/>
    </xf>
    <xf numFmtId="0" fontId="2" fillId="4" borderId="2" xfId="0" applyFont="1" applyFill="1" applyBorder="1" applyAlignment="1">
      <alignment horizontal="left" wrapText="1"/>
    </xf>
    <xf numFmtId="0" fontId="2" fillId="4" borderId="5" xfId="0" applyFont="1" applyFill="1" applyBorder="1" applyAlignment="1">
      <alignment horizontal="left" wrapText="1"/>
    </xf>
    <xf numFmtId="0" fontId="2" fillId="0" borderId="1" xfId="0" applyFont="1" applyBorder="1" applyAlignment="1">
      <alignment wrapText="1"/>
    </xf>
    <xf numFmtId="0" fontId="2" fillId="0" borderId="1" xfId="0" applyFont="1" applyBorder="1" applyAlignment="1">
      <alignment vertical="top" wrapText="1"/>
    </xf>
    <xf numFmtId="0" fontId="2" fillId="0" borderId="0" xfId="1" applyFont="1" applyAlignment="1">
      <alignment horizontal="left" wrapText="1"/>
    </xf>
    <xf numFmtId="172" fontId="4" fillId="0" borderId="10" xfId="0" applyNumberFormat="1" applyFont="1" applyBorder="1" applyAlignment="1">
      <alignment horizontal="left" vertical="top" wrapText="1"/>
    </xf>
    <xf numFmtId="0" fontId="2" fillId="0" borderId="8" xfId="1" applyFont="1" applyBorder="1" applyAlignment="1">
      <alignment horizontal="left" vertical="top" wrapText="1"/>
    </xf>
    <xf numFmtId="0" fontId="2" fillId="0" borderId="1" xfId="1" applyFont="1" applyFill="1" applyBorder="1" applyAlignment="1">
      <alignment vertical="top" wrapText="1"/>
    </xf>
    <xf numFmtId="0" fontId="2" fillId="0" borderId="1" xfId="1" applyFont="1" applyBorder="1" applyAlignment="1">
      <alignment vertical="top" wrapText="1"/>
    </xf>
    <xf numFmtId="0" fontId="2" fillId="0" borderId="0" xfId="1" applyFont="1" applyFill="1" applyBorder="1"/>
    <xf numFmtId="172" fontId="4" fillId="0" borderId="15" xfId="0" applyNumberFormat="1" applyFont="1" applyBorder="1" applyAlignment="1">
      <alignment horizontal="left" vertical="top" wrapText="1"/>
    </xf>
    <xf numFmtId="0" fontId="2" fillId="0" borderId="3" xfId="1" applyFont="1" applyBorder="1" applyAlignment="1">
      <alignment horizontal="left" wrapText="1"/>
    </xf>
    <xf numFmtId="0" fontId="16" fillId="0" borderId="2" xfId="1" applyFont="1" applyBorder="1" applyAlignment="1">
      <alignment vertical="top"/>
    </xf>
    <xf numFmtId="172" fontId="4" fillId="0" borderId="5" xfId="0" applyNumberFormat="1" applyFont="1" applyBorder="1" applyAlignment="1">
      <alignment horizontal="left" vertical="center" wrapText="1"/>
    </xf>
    <xf numFmtId="0" fontId="4" fillId="0" borderId="5" xfId="0" applyFont="1" applyBorder="1" applyAlignment="1">
      <alignment horizontal="left" wrapText="1"/>
    </xf>
    <xf numFmtId="0" fontId="4" fillId="0" borderId="1" xfId="0" applyFont="1" applyBorder="1" applyAlignment="1">
      <alignment horizontal="left" wrapText="1"/>
    </xf>
    <xf numFmtId="0" fontId="2" fillId="9" borderId="1" xfId="1" applyFont="1" applyFill="1" applyBorder="1" applyAlignment="1">
      <alignment horizontal="left" vertical="top" wrapText="1"/>
    </xf>
    <xf numFmtId="172" fontId="4" fillId="9" borderId="1" xfId="0" applyNumberFormat="1" applyFont="1" applyFill="1" applyBorder="1" applyAlignment="1">
      <alignment horizontal="left" vertical="top" wrapText="1"/>
    </xf>
    <xf numFmtId="0" fontId="4" fillId="9" borderId="1" xfId="0" applyFont="1" applyFill="1" applyBorder="1" applyAlignment="1">
      <alignment horizontal="left" vertical="top" wrapText="1"/>
    </xf>
    <xf numFmtId="0" fontId="4" fillId="0" borderId="0" xfId="0" applyFont="1"/>
    <xf numFmtId="172" fontId="4" fillId="0" borderId="7" xfId="0" applyNumberFormat="1" applyFont="1" applyBorder="1" applyAlignment="1">
      <alignment horizontal="left" wrapText="1"/>
    </xf>
    <xf numFmtId="0" fontId="4" fillId="0" borderId="3" xfId="0" applyFont="1" applyBorder="1" applyAlignment="1">
      <alignment horizontal="left" wrapText="1"/>
    </xf>
    <xf numFmtId="0" fontId="34" fillId="0" borderId="1" xfId="0" applyFont="1" applyBorder="1"/>
    <xf numFmtId="0" fontId="34" fillId="0" borderId="0" xfId="0" applyFont="1" applyAlignment="1">
      <alignment vertical="top"/>
    </xf>
    <xf numFmtId="0" fontId="16" fillId="0" borderId="0" xfId="1" applyFont="1"/>
    <xf numFmtId="0" fontId="16" fillId="0" borderId="2" xfId="1" applyFont="1" applyBorder="1"/>
    <xf numFmtId="172" fontId="4" fillId="0" borderId="8" xfId="0" applyNumberFormat="1" applyFont="1" applyBorder="1" applyAlignment="1">
      <alignment horizontal="left" wrapText="1"/>
    </xf>
    <xf numFmtId="0" fontId="16" fillId="0" borderId="18" xfId="1" applyFont="1" applyBorder="1"/>
    <xf numFmtId="0" fontId="16" fillId="0" borderId="18" xfId="1" applyFont="1" applyBorder="1" applyAlignment="1">
      <alignment vertical="top" wrapText="1"/>
    </xf>
    <xf numFmtId="15" fontId="34" fillId="0" borderId="2" xfId="0" applyNumberFormat="1" applyFont="1" applyBorder="1" applyAlignment="1">
      <alignment vertical="top"/>
    </xf>
    <xf numFmtId="22" fontId="34" fillId="0" borderId="2" xfId="0" applyNumberFormat="1" applyFont="1" applyBorder="1" applyAlignment="1">
      <alignment vertical="top" wrapText="1"/>
    </xf>
    <xf numFmtId="164" fontId="34" fillId="0" borderId="2" xfId="0" applyNumberFormat="1" applyFont="1" applyBorder="1" applyAlignment="1">
      <alignment vertical="top" wrapText="1"/>
    </xf>
    <xf numFmtId="171" fontId="34" fillId="0" borderId="2" xfId="0" applyNumberFormat="1" applyFont="1" applyBorder="1" applyAlignment="1">
      <alignment vertical="top" wrapText="1"/>
    </xf>
    <xf numFmtId="167" fontId="34" fillId="0" borderId="2" xfId="0" applyNumberFormat="1" applyFont="1" applyBorder="1" applyAlignment="1">
      <alignment vertical="top" wrapText="1"/>
    </xf>
    <xf numFmtId="15" fontId="34" fillId="0" borderId="2" xfId="0" applyNumberFormat="1" applyFont="1" applyBorder="1" applyAlignment="1">
      <alignment vertical="top" wrapText="1"/>
    </xf>
    <xf numFmtId="164" fontId="34" fillId="0" borderId="2" xfId="0" applyNumberFormat="1" applyFont="1" applyBorder="1" applyAlignment="1">
      <alignment vertical="top"/>
    </xf>
    <xf numFmtId="0" fontId="34" fillId="4" borderId="2" xfId="0" applyFont="1" applyFill="1" applyBorder="1" applyAlignment="1">
      <alignment vertical="top" wrapText="1"/>
    </xf>
    <xf numFmtId="0" fontId="16" fillId="4" borderId="2" xfId="0" applyFont="1" applyFill="1" applyBorder="1" applyAlignment="1">
      <alignment vertical="top"/>
    </xf>
    <xf numFmtId="164" fontId="34" fillId="4" borderId="2" xfId="0" applyNumberFormat="1" applyFont="1" applyFill="1" applyBorder="1" applyAlignment="1">
      <alignment vertical="top"/>
    </xf>
    <xf numFmtId="0" fontId="34" fillId="4" borderId="2" xfId="0" applyFont="1" applyFill="1" applyBorder="1" applyAlignment="1">
      <alignment vertical="top"/>
    </xf>
    <xf numFmtId="15" fontId="4" fillId="0" borderId="2" xfId="0" applyNumberFormat="1" applyFont="1" applyBorder="1" applyAlignment="1">
      <alignment vertical="top" wrapText="1"/>
    </xf>
    <xf numFmtId="0" fontId="4" fillId="4" borderId="2" xfId="0" applyFont="1" applyFill="1" applyBorder="1" applyAlignment="1">
      <alignment horizontal="left" vertical="top" wrapText="1"/>
    </xf>
    <xf numFmtId="0" fontId="4" fillId="0" borderId="15" xfId="0" applyFont="1" applyBorder="1" applyAlignment="1">
      <alignment vertical="top" wrapText="1"/>
    </xf>
    <xf numFmtId="15" fontId="4" fillId="0" borderId="15" xfId="0" applyNumberFormat="1" applyFont="1" applyBorder="1" applyAlignment="1">
      <alignment vertical="top" wrapText="1"/>
    </xf>
    <xf numFmtId="14" fontId="34" fillId="0" borderId="2" xfId="0" applyNumberFormat="1" applyFont="1" applyBorder="1" applyAlignment="1">
      <alignment wrapText="1"/>
    </xf>
    <xf numFmtId="15" fontId="4" fillId="0" borderId="2" xfId="0" applyNumberFormat="1" applyFont="1" applyBorder="1" applyAlignment="1">
      <alignment wrapText="1"/>
    </xf>
    <xf numFmtId="15" fontId="2"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xf>
    <xf numFmtId="0" fontId="4"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15" fontId="4" fillId="0" borderId="7" xfId="0" applyNumberFormat="1" applyFont="1" applyBorder="1" applyAlignment="1">
      <alignment horizontal="left" vertical="top" wrapText="1"/>
    </xf>
    <xf numFmtId="0" fontId="2" fillId="0" borderId="0" xfId="1" applyFont="1" applyFill="1" applyBorder="1" applyAlignment="1">
      <alignment horizontal="left" vertical="top"/>
    </xf>
    <xf numFmtId="0" fontId="2" fillId="0" borderId="1" xfId="1" applyFont="1" applyBorder="1" applyAlignment="1">
      <alignment horizontal="left" vertical="top"/>
    </xf>
    <xf numFmtId="164" fontId="4" fillId="0" borderId="1" xfId="0" applyNumberFormat="1" applyFont="1" applyBorder="1" applyAlignment="1">
      <alignment horizontal="left" vertical="top" wrapText="1"/>
    </xf>
    <xf numFmtId="15" fontId="4" fillId="0" borderId="1" xfId="0" applyNumberFormat="1" applyFont="1" applyBorder="1" applyAlignment="1">
      <alignment horizontal="left" vertical="top"/>
    </xf>
    <xf numFmtId="170" fontId="4" fillId="0" borderId="3" xfId="0" applyNumberFormat="1" applyFont="1" applyBorder="1" applyAlignment="1">
      <alignment horizontal="left" vertical="top"/>
    </xf>
    <xf numFmtId="0" fontId="4" fillId="0" borderId="3" xfId="0" applyFont="1" applyBorder="1" applyAlignment="1">
      <alignment horizontal="left" vertical="top"/>
    </xf>
    <xf numFmtId="170" fontId="4" fillId="0" borderId="15" xfId="0" applyNumberFormat="1" applyFont="1" applyBorder="1" applyAlignment="1">
      <alignment horizontal="left" vertical="top"/>
    </xf>
    <xf numFmtId="170" fontId="4" fillId="0" borderId="2" xfId="0" applyNumberFormat="1" applyFont="1" applyBorder="1" applyAlignment="1">
      <alignment horizontal="left" vertical="top"/>
    </xf>
    <xf numFmtId="14" fontId="34" fillId="0" borderId="2" xfId="0" applyNumberFormat="1" applyFont="1" applyBorder="1"/>
    <xf numFmtId="0" fontId="4" fillId="0" borderId="18" xfId="0" applyFont="1" applyBorder="1" applyAlignment="1">
      <alignment horizontal="left" vertical="top"/>
    </xf>
    <xf numFmtId="15" fontId="34" fillId="0" borderId="2" xfId="0" applyNumberFormat="1" applyFont="1" applyBorder="1" applyAlignment="1">
      <alignment horizontal="left" vertical="top"/>
    </xf>
    <xf numFmtId="0" fontId="16" fillId="0" borderId="2" xfId="1" applyFont="1" applyBorder="1" applyAlignment="1">
      <alignment horizontal="left" vertical="top" wrapText="1" indent="1"/>
    </xf>
    <xf numFmtId="0" fontId="4" fillId="0" borderId="7" xfId="0" applyFont="1" applyBorder="1" applyAlignment="1">
      <alignment horizontal="left" vertical="top" wrapText="1"/>
    </xf>
    <xf numFmtId="14" fontId="4" fillId="0" borderId="1" xfId="0" applyNumberFormat="1" applyFont="1" applyBorder="1" applyAlignment="1">
      <alignment horizontal="left" vertical="top" wrapText="1"/>
    </xf>
    <xf numFmtId="0" fontId="4" fillId="0" borderId="5" xfId="0" applyFont="1" applyBorder="1" applyAlignment="1">
      <alignment horizontal="left" vertical="top"/>
    </xf>
    <xf numFmtId="169" fontId="4" fillId="0" borderId="1" xfId="0" applyNumberFormat="1" applyFont="1" applyBorder="1" applyAlignment="1">
      <alignment horizontal="left" vertical="top" wrapText="1"/>
    </xf>
    <xf numFmtId="0" fontId="4" fillId="4" borderId="1" xfId="0" applyFont="1" applyFill="1" applyBorder="1" applyAlignment="1">
      <alignment horizontal="left" vertical="top"/>
    </xf>
    <xf numFmtId="0" fontId="2" fillId="4" borderId="1" xfId="0" applyFont="1" applyFill="1" applyBorder="1" applyAlignment="1">
      <alignment horizontal="left" vertical="top"/>
    </xf>
    <xf numFmtId="166"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xf>
    <xf numFmtId="15" fontId="4" fillId="0" borderId="3" xfId="0" applyNumberFormat="1" applyFont="1" applyBorder="1" applyAlignment="1">
      <alignment horizontal="left" vertical="top"/>
    </xf>
    <xf numFmtId="168" fontId="4" fillId="0" borderId="1" xfId="0" applyNumberFormat="1" applyFont="1" applyBorder="1" applyAlignment="1">
      <alignment horizontal="left" vertical="top" wrapText="1"/>
    </xf>
    <xf numFmtId="0" fontId="4" fillId="9" borderId="3" xfId="0" applyFont="1" applyFill="1" applyBorder="1" applyAlignment="1">
      <alignment horizontal="left" vertical="top"/>
    </xf>
    <xf numFmtId="172" fontId="4" fillId="9" borderId="15" xfId="0" applyNumberFormat="1" applyFont="1" applyFill="1" applyBorder="1" applyAlignment="1">
      <alignment horizontal="left" vertical="center"/>
    </xf>
    <xf numFmtId="0" fontId="4" fillId="9" borderId="15" xfId="0" applyFont="1" applyFill="1" applyBorder="1" applyAlignment="1">
      <alignment horizontal="left" vertical="top"/>
    </xf>
    <xf numFmtId="172" fontId="4" fillId="9" borderId="2" xfId="0" applyNumberFormat="1" applyFont="1" applyFill="1" applyBorder="1" applyAlignment="1">
      <alignment horizontal="left" vertical="center"/>
    </xf>
    <xf numFmtId="0" fontId="5" fillId="9" borderId="2" xfId="0" applyFont="1" applyFill="1" applyBorder="1" applyAlignment="1">
      <alignment horizontal="left" vertical="center"/>
    </xf>
    <xf numFmtId="0" fontId="4" fillId="9" borderId="2" xfId="0" applyFont="1" applyFill="1" applyBorder="1" applyAlignment="1">
      <alignment horizontal="left" vertical="top"/>
    </xf>
    <xf numFmtId="0" fontId="4" fillId="9" borderId="2" xfId="0" applyFont="1" applyFill="1" applyBorder="1" applyAlignment="1">
      <alignment horizontal="left" vertical="center"/>
    </xf>
    <xf numFmtId="0" fontId="13" fillId="9" borderId="2" xfId="0" applyFont="1" applyFill="1" applyBorder="1" applyAlignment="1">
      <alignment horizontal="left" vertical="center"/>
    </xf>
    <xf numFmtId="0" fontId="4" fillId="9" borderId="4" xfId="0" applyFont="1" applyFill="1" applyBorder="1" applyAlignment="1">
      <alignment horizontal="left" vertical="top"/>
    </xf>
    <xf numFmtId="15" fontId="4" fillId="9" borderId="2" xfId="0" applyNumberFormat="1" applyFont="1" applyFill="1" applyBorder="1" applyAlignment="1">
      <alignment horizontal="left" vertical="top"/>
    </xf>
    <xf numFmtId="0" fontId="4" fillId="9" borderId="2" xfId="0" applyFont="1" applyFill="1" applyBorder="1" applyAlignment="1">
      <alignment horizontal="left" vertical="top" wrapText="1"/>
    </xf>
    <xf numFmtId="15" fontId="4" fillId="0" borderId="2" xfId="0" applyNumberFormat="1" applyFont="1" applyBorder="1" applyAlignment="1">
      <alignment horizontal="left" vertical="top"/>
    </xf>
    <xf numFmtId="164" fontId="4" fillId="0" borderId="1" xfId="0" applyNumberFormat="1" applyFont="1" applyBorder="1" applyAlignment="1">
      <alignment horizontal="left" vertical="top"/>
    </xf>
    <xf numFmtId="0" fontId="39" fillId="0" borderId="1" xfId="0" applyFont="1" applyBorder="1" applyAlignment="1">
      <alignment horizontal="left" vertical="top" wrapText="1"/>
    </xf>
    <xf numFmtId="0" fontId="4" fillId="9" borderId="1" xfId="0" applyFont="1" applyFill="1" applyBorder="1" applyAlignment="1">
      <alignment horizontal="left" vertical="top"/>
    </xf>
    <xf numFmtId="14" fontId="4" fillId="9" borderId="2" xfId="0" applyNumberFormat="1" applyFont="1" applyFill="1" applyBorder="1" applyAlignment="1">
      <alignment vertical="center"/>
    </xf>
    <xf numFmtId="0" fontId="4" fillId="9" borderId="8" xfId="0" applyFont="1" applyFill="1" applyBorder="1" applyAlignment="1">
      <alignment horizontal="left" vertical="center" wrapText="1"/>
    </xf>
    <xf numFmtId="0" fontId="4" fillId="9" borderId="2" xfId="0" applyFont="1" applyFill="1" applyBorder="1" applyAlignment="1">
      <alignment vertical="center"/>
    </xf>
    <xf numFmtId="165" fontId="4" fillId="0" borderId="21" xfId="0" applyNumberFormat="1" applyFont="1" applyBorder="1" applyAlignment="1">
      <alignment horizontal="left" vertical="top" wrapText="1"/>
    </xf>
    <xf numFmtId="0" fontId="4" fillId="0" borderId="1" xfId="1" applyFont="1" applyBorder="1" applyAlignment="1">
      <alignment horizontal="left" vertical="top" wrapText="1"/>
    </xf>
    <xf numFmtId="165" fontId="4" fillId="0" borderId="6" xfId="0" applyNumberFormat="1" applyFont="1" applyBorder="1" applyAlignment="1">
      <alignment horizontal="left" vertical="top" wrapText="1"/>
    </xf>
    <xf numFmtId="165" fontId="4" fillId="0" borderId="3" xfId="0" applyNumberFormat="1" applyFont="1" applyBorder="1" applyAlignment="1">
      <alignment horizontal="left" vertical="top" wrapText="1"/>
    </xf>
    <xf numFmtId="0" fontId="4" fillId="0" borderId="5" xfId="0" applyFont="1" applyBorder="1" applyAlignment="1">
      <alignment horizontal="left" vertical="top" wrapText="1"/>
    </xf>
    <xf numFmtId="15" fontId="4" fillId="0" borderId="2" xfId="0" applyNumberFormat="1" applyFont="1" applyBorder="1" applyAlignment="1">
      <alignment horizontal="left" vertical="center"/>
    </xf>
    <xf numFmtId="1" fontId="4" fillId="0" borderId="1" xfId="0" applyNumberFormat="1" applyFont="1" applyBorder="1" applyAlignment="1">
      <alignment horizontal="left" vertical="top"/>
    </xf>
    <xf numFmtId="1" fontId="4" fillId="4" borderId="1" xfId="0" applyNumberFormat="1" applyFont="1" applyFill="1" applyBorder="1" applyAlignment="1">
      <alignment horizontal="left" vertical="top"/>
    </xf>
    <xf numFmtId="15" fontId="4" fillId="4" borderId="1" xfId="0" applyNumberFormat="1" applyFont="1" applyFill="1" applyBorder="1" applyAlignment="1">
      <alignment horizontal="left" vertical="top"/>
    </xf>
    <xf numFmtId="0" fontId="4" fillId="4" borderId="0" xfId="0" applyFont="1" applyFill="1" applyAlignment="1">
      <alignment horizontal="left" vertical="top"/>
    </xf>
    <xf numFmtId="0" fontId="4" fillId="4" borderId="0" xfId="0" applyFont="1" applyFill="1" applyAlignment="1">
      <alignment horizontal="left" vertical="top" wrapText="1"/>
    </xf>
    <xf numFmtId="0" fontId="4" fillId="0" borderId="7" xfId="0" applyFont="1" applyBorder="1" applyAlignment="1">
      <alignment horizontal="left" vertical="top"/>
    </xf>
    <xf numFmtId="14" fontId="4" fillId="0" borderId="8" xfId="0" applyNumberFormat="1" applyFont="1" applyBorder="1" applyAlignment="1">
      <alignment horizontal="left" vertical="top"/>
    </xf>
    <xf numFmtId="0" fontId="50" fillId="2" borderId="1" xfId="0" applyFont="1" applyFill="1" applyBorder="1" applyAlignment="1">
      <alignment horizontal="left" vertical="top" wrapText="1"/>
    </xf>
    <xf numFmtId="14" fontId="50" fillId="2" borderId="1" xfId="0" applyNumberFormat="1" applyFont="1" applyFill="1" applyBorder="1" applyAlignment="1">
      <alignment horizontal="left" vertical="top" wrapText="1"/>
    </xf>
    <xf numFmtId="0" fontId="50" fillId="0" borderId="1" xfId="0" applyFont="1" applyBorder="1" applyAlignment="1">
      <alignment horizontal="left" vertical="top" wrapText="1"/>
    </xf>
    <xf numFmtId="0" fontId="51" fillId="0" borderId="1" xfId="0" applyFont="1" applyBorder="1" applyAlignment="1">
      <alignment horizontal="left" vertical="top" wrapText="1"/>
    </xf>
    <xf numFmtId="0" fontId="52" fillId="0" borderId="1" xfId="0" applyFont="1" applyBorder="1" applyAlignment="1">
      <alignment horizontal="left" vertical="top" wrapText="1"/>
    </xf>
    <xf numFmtId="0" fontId="52" fillId="0" borderId="0" xfId="0" applyFont="1" applyAlignment="1">
      <alignment horizontal="left" vertical="top"/>
    </xf>
    <xf numFmtId="0" fontId="52" fillId="2" borderId="15" xfId="0" applyFont="1" applyFill="1" applyBorder="1" applyAlignment="1">
      <alignment horizontal="left" vertical="top" wrapText="1"/>
    </xf>
    <xf numFmtId="172" fontId="52" fillId="6" borderId="15" xfId="0" applyNumberFormat="1" applyFont="1" applyFill="1" applyBorder="1" applyAlignment="1">
      <alignment horizontal="left" vertical="top" wrapText="1"/>
    </xf>
    <xf numFmtId="0" fontId="52" fillId="2" borderId="2" xfId="0" applyFont="1" applyFill="1" applyBorder="1" applyAlignment="1">
      <alignment horizontal="left" vertical="top" wrapText="1"/>
    </xf>
    <xf numFmtId="0" fontId="53" fillId="0" borderId="0" xfId="0" applyFont="1" applyAlignment="1">
      <alignment horizontal="left"/>
    </xf>
    <xf numFmtId="0" fontId="54" fillId="7" borderId="2" xfId="0" applyFont="1" applyFill="1" applyBorder="1" applyAlignment="1">
      <alignment horizontal="left"/>
    </xf>
    <xf numFmtId="0" fontId="55" fillId="7" borderId="2" xfId="0" applyFont="1" applyFill="1" applyBorder="1" applyAlignment="1">
      <alignment horizontal="left" wrapText="1"/>
    </xf>
    <xf numFmtId="172" fontId="55" fillId="7" borderId="2" xfId="0" applyNumberFormat="1" applyFont="1" applyFill="1" applyBorder="1" applyAlignment="1">
      <alignment horizontal="left"/>
    </xf>
    <xf numFmtId="0" fontId="55" fillId="7" borderId="2" xfId="0" applyFont="1" applyFill="1" applyBorder="1" applyAlignment="1">
      <alignment horizontal="left"/>
    </xf>
    <xf numFmtId="0" fontId="55" fillId="7" borderId="2" xfId="0" applyFont="1" applyFill="1" applyBorder="1" applyAlignment="1">
      <alignment wrapText="1"/>
    </xf>
    <xf numFmtId="0" fontId="55" fillId="7" borderId="2" xfId="0" applyFont="1" applyFill="1" applyBorder="1"/>
    <xf numFmtId="0" fontId="53" fillId="0" borderId="0" xfId="0" applyFont="1"/>
    <xf numFmtId="0" fontId="54" fillId="0" borderId="2" xfId="0" applyFont="1" applyBorder="1" applyAlignment="1">
      <alignment horizontal="left"/>
    </xf>
    <xf numFmtId="0" fontId="55" fillId="2" borderId="2" xfId="0" applyFont="1" applyFill="1" applyBorder="1" applyAlignment="1">
      <alignment horizontal="left" vertical="top" wrapText="1"/>
    </xf>
    <xf numFmtId="172" fontId="55" fillId="6" borderId="2" xfId="0" applyNumberFormat="1" applyFont="1" applyFill="1" applyBorder="1" applyAlignment="1">
      <alignment horizontal="left" vertical="top" wrapText="1"/>
    </xf>
    <xf numFmtId="0" fontId="51" fillId="2" borderId="1" xfId="0" applyFont="1" applyFill="1" applyBorder="1" applyAlignment="1">
      <alignment horizontal="left" vertical="center" wrapText="1"/>
    </xf>
    <xf numFmtId="0" fontId="51" fillId="2" borderId="1" xfId="0" applyFont="1" applyFill="1" applyBorder="1" applyAlignment="1">
      <alignment horizontal="left" vertical="top" wrapText="1"/>
    </xf>
    <xf numFmtId="172" fontId="51" fillId="2" borderId="1" xfId="0" applyNumberFormat="1" applyFont="1" applyFill="1" applyBorder="1" applyAlignment="1">
      <alignment horizontal="left" vertical="center" wrapText="1"/>
    </xf>
    <xf numFmtId="0" fontId="52" fillId="0" borderId="0" xfId="0" applyFont="1" applyAlignment="1">
      <alignment wrapText="1"/>
    </xf>
    <xf numFmtId="0" fontId="50" fillId="2" borderId="2" xfId="0" applyFont="1" applyFill="1" applyBorder="1" applyAlignment="1">
      <alignment vertical="top" wrapText="1"/>
    </xf>
    <xf numFmtId="164" fontId="50" fillId="2" borderId="2" xfId="0" applyNumberFormat="1" applyFont="1" applyFill="1" applyBorder="1" applyAlignment="1">
      <alignment vertical="top" wrapText="1"/>
    </xf>
    <xf numFmtId="0" fontId="51" fillId="0" borderId="2" xfId="0" applyFont="1" applyBorder="1" applyAlignment="1">
      <alignment vertical="top" wrapText="1"/>
    </xf>
    <xf numFmtId="0" fontId="56" fillId="0" borderId="2" xfId="0" applyFont="1" applyBorder="1" applyAlignment="1">
      <alignment vertical="top"/>
    </xf>
    <xf numFmtId="0" fontId="51" fillId="2" borderId="2" xfId="0" applyFont="1" applyFill="1" applyBorder="1" applyAlignment="1">
      <alignment horizontal="left" vertical="top" wrapText="1"/>
    </xf>
    <xf numFmtId="0" fontId="52" fillId="2" borderId="1" xfId="0" applyFont="1" applyFill="1" applyBorder="1" applyAlignment="1">
      <alignment horizontal="left" vertical="top" wrapText="1"/>
    </xf>
    <xf numFmtId="0" fontId="51" fillId="0" borderId="1" xfId="0" applyFont="1" applyBorder="1" applyAlignment="1">
      <alignment horizontal="left" vertical="top"/>
    </xf>
    <xf numFmtId="0" fontId="52" fillId="0" borderId="1" xfId="0" applyFont="1" applyBorder="1" applyAlignment="1">
      <alignment horizontal="left" vertical="top"/>
    </xf>
    <xf numFmtId="0" fontId="56" fillId="0" borderId="0" xfId="0" applyFont="1" applyAlignment="1">
      <alignment horizontal="left" vertical="top"/>
    </xf>
    <xf numFmtId="0" fontId="51" fillId="2" borderId="1" xfId="0" applyFont="1" applyFill="1" applyBorder="1" applyAlignment="1">
      <alignment horizontal="left" vertical="top"/>
    </xf>
    <xf numFmtId="0" fontId="51" fillId="0" borderId="0" xfId="0" applyFont="1" applyAlignment="1">
      <alignment horizontal="left" vertical="top" wrapText="1"/>
    </xf>
    <xf numFmtId="0" fontId="52" fillId="0" borderId="0" xfId="0" applyFont="1" applyAlignment="1">
      <alignment horizontal="left" vertical="top" wrapText="1"/>
    </xf>
    <xf numFmtId="0" fontId="53" fillId="0" borderId="0" xfId="0" applyFont="1" applyAlignment="1">
      <alignment vertical="top"/>
    </xf>
    <xf numFmtId="0" fontId="53" fillId="0" borderId="0" xfId="0" applyFont="1" applyAlignment="1">
      <alignment horizontal="left" vertical="top"/>
    </xf>
    <xf numFmtId="0" fontId="51" fillId="2" borderId="8" xfId="0" applyFont="1" applyFill="1" applyBorder="1" applyAlignment="1">
      <alignment horizontal="left" vertical="top" wrapText="1"/>
    </xf>
    <xf numFmtId="0" fontId="51" fillId="2" borderId="7" xfId="0" applyFont="1" applyFill="1" applyBorder="1" applyAlignment="1">
      <alignment horizontal="left" vertical="top" wrapText="1"/>
    </xf>
    <xf numFmtId="0" fontId="51" fillId="2" borderId="0" xfId="0" applyFont="1" applyFill="1" applyAlignment="1">
      <alignment horizontal="left" vertical="top" wrapText="1"/>
    </xf>
    <xf numFmtId="0" fontId="51" fillId="8" borderId="0" xfId="0" applyFont="1" applyFill="1" applyAlignment="1">
      <alignment horizontal="left" vertical="top" wrapText="1"/>
    </xf>
    <xf numFmtId="0" fontId="52" fillId="3" borderId="1" xfId="0" applyFont="1" applyFill="1" applyBorder="1" applyAlignment="1">
      <alignment horizontal="left" vertical="top"/>
    </xf>
    <xf numFmtId="0" fontId="52" fillId="3" borderId="1" xfId="0" applyFont="1" applyFill="1" applyBorder="1" applyAlignment="1">
      <alignment horizontal="left" vertical="top" wrapText="1"/>
    </xf>
    <xf numFmtId="0" fontId="52" fillId="0" borderId="0" xfId="0" applyFont="1"/>
    <xf numFmtId="0" fontId="52" fillId="2" borderId="1" xfId="0" applyFont="1" applyFill="1" applyBorder="1" applyAlignment="1">
      <alignment horizontal="left" vertical="top"/>
    </xf>
    <xf numFmtId="0" fontId="51" fillId="0" borderId="0" xfId="0" applyFont="1" applyAlignment="1">
      <alignment horizontal="left" vertical="top"/>
    </xf>
    <xf numFmtId="0" fontId="34" fillId="0" borderId="7" xfId="0" applyFont="1" applyBorder="1" applyAlignment="1">
      <alignment horizontal="left" vertical="top"/>
    </xf>
    <xf numFmtId="0" fontId="52" fillId="11" borderId="15" xfId="0" applyFont="1" applyFill="1" applyBorder="1" applyAlignment="1">
      <alignment horizontal="left" vertical="top" wrapText="1"/>
    </xf>
    <xf numFmtId="172" fontId="52" fillId="12" borderId="15" xfId="0" applyNumberFormat="1" applyFont="1" applyFill="1" applyBorder="1" applyAlignment="1">
      <alignment horizontal="left" vertical="top" wrapText="1"/>
    </xf>
    <xf numFmtId="0" fontId="52" fillId="11" borderId="2" xfId="0" applyFont="1" applyFill="1" applyBorder="1" applyAlignment="1">
      <alignment horizontal="left" vertical="top" wrapText="1"/>
    </xf>
    <xf numFmtId="0" fontId="53" fillId="12" borderId="0" xfId="0" applyFont="1" applyFill="1" applyAlignment="1">
      <alignment horizontal="left"/>
    </xf>
    <xf numFmtId="0" fontId="48" fillId="11" borderId="15" xfId="1" applyFont="1" applyFill="1" applyBorder="1" applyAlignment="1">
      <alignment horizontal="left" vertical="top" wrapText="1"/>
    </xf>
    <xf numFmtId="172" fontId="4" fillId="12" borderId="15" xfId="0" applyNumberFormat="1" applyFont="1" applyFill="1" applyBorder="1" applyAlignment="1">
      <alignment horizontal="left" vertical="top" wrapText="1"/>
    </xf>
    <xf numFmtId="14" fontId="52" fillId="11" borderId="15" xfId="0" applyNumberFormat="1" applyFont="1" applyFill="1" applyBorder="1" applyAlignment="1">
      <alignment horizontal="left" vertical="top" wrapText="1"/>
    </xf>
    <xf numFmtId="0" fontId="16" fillId="11" borderId="15" xfId="1" applyFont="1" applyFill="1" applyBorder="1" applyAlignment="1">
      <alignment horizontal="left" vertical="top" wrapText="1"/>
    </xf>
    <xf numFmtId="0" fontId="4" fillId="11" borderId="2" xfId="0" applyFont="1" applyFill="1" applyBorder="1" applyAlignment="1">
      <alignment horizontal="left" vertical="top" wrapText="1"/>
    </xf>
    <xf numFmtId="0" fontId="16" fillId="11" borderId="2" xfId="1" applyFont="1" applyFill="1" applyBorder="1" applyAlignment="1">
      <alignment horizontal="left" vertical="top" wrapText="1"/>
    </xf>
    <xf numFmtId="0" fontId="1" fillId="0" borderId="0" xfId="0" applyFont="1" applyAlignment="1">
      <alignment horizontal="left" vertical="top" wrapText="1"/>
    </xf>
    <xf numFmtId="0" fontId="9" fillId="0" borderId="0" xfId="0" applyFont="1" applyAlignment="1">
      <alignment horizontal="left" vertical="top"/>
    </xf>
    <xf numFmtId="0" fontId="4" fillId="0" borderId="9" xfId="0" applyFont="1" applyBorder="1" applyAlignment="1">
      <alignment horizontal="left" vertical="top" wrapText="1"/>
    </xf>
    <xf numFmtId="0" fontId="13" fillId="0" borderId="10"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3" fillId="0" borderId="14" xfId="0" applyFont="1" applyBorder="1" applyAlignment="1">
      <alignment horizontal="left" vertical="top"/>
    </xf>
    <xf numFmtId="0" fontId="1" fillId="0" borderId="9" xfId="0" applyFont="1" applyBorder="1" applyAlignment="1">
      <alignment horizontal="left" vertical="top" wrapText="1"/>
    </xf>
    <xf numFmtId="0" fontId="10" fillId="0" borderId="11" xfId="0" applyFont="1" applyBorder="1" applyAlignment="1">
      <alignment horizontal="left" vertical="top"/>
    </xf>
    <xf numFmtId="0" fontId="10" fillId="0" borderId="13" xfId="0" applyFont="1" applyBorder="1" applyAlignment="1">
      <alignment horizontal="left" vertical="top"/>
    </xf>
    <xf numFmtId="0" fontId="4" fillId="0" borderId="3" xfId="0" applyFont="1" applyBorder="1" applyAlignment="1">
      <alignment horizontal="left" vertical="top" wrapText="1"/>
    </xf>
    <xf numFmtId="0" fontId="13" fillId="0" borderId="4" xfId="0" applyFont="1" applyBorder="1" applyAlignment="1">
      <alignment horizontal="left" vertical="top"/>
    </xf>
    <xf numFmtId="0" fontId="13" fillId="0" borderId="5" xfId="0" applyFont="1" applyBorder="1" applyAlignment="1">
      <alignment horizontal="left" vertical="top"/>
    </xf>
    <xf numFmtId="0" fontId="1" fillId="0" borderId="10" xfId="0" applyFont="1" applyBorder="1" applyAlignment="1">
      <alignment horizontal="left" vertical="top" wrapText="1"/>
    </xf>
    <xf numFmtId="0" fontId="10" fillId="0" borderId="12" xfId="0" applyFont="1" applyBorder="1" applyAlignment="1">
      <alignment horizontal="left" vertical="top"/>
    </xf>
    <xf numFmtId="0" fontId="10" fillId="0" borderId="14" xfId="0" applyFont="1" applyBorder="1" applyAlignment="1">
      <alignment horizontal="left" vertical="top"/>
    </xf>
    <xf numFmtId="0" fontId="1" fillId="0" borderId="3" xfId="0" applyFont="1" applyBorder="1" applyAlignment="1">
      <alignment horizontal="left" vertical="top" wrapText="1"/>
    </xf>
    <xf numFmtId="0" fontId="10" fillId="0" borderId="4" xfId="0" applyFont="1" applyBorder="1" applyAlignment="1">
      <alignment horizontal="left" vertical="top"/>
    </xf>
    <xf numFmtId="0" fontId="10" fillId="0" borderId="5" xfId="0" applyFont="1" applyBorder="1" applyAlignment="1">
      <alignment horizontal="left" vertical="top"/>
    </xf>
    <xf numFmtId="0" fontId="48" fillId="0" borderId="2" xfId="1" applyFont="1" applyBorder="1" applyAlignment="1">
      <alignment horizontal="left" vertical="top"/>
    </xf>
    <xf numFmtId="14" fontId="57" fillId="0" borderId="8" xfId="0" applyNumberFormat="1" applyFont="1" applyBorder="1" applyAlignment="1">
      <alignment horizontal="left" vertical="top"/>
    </xf>
    <xf numFmtId="0" fontId="57" fillId="0" borderId="1" xfId="0" applyFont="1" applyBorder="1" applyAlignment="1">
      <alignment horizontal="left" vertical="top" wrapText="1"/>
    </xf>
    <xf numFmtId="0" fontId="57" fillId="0" borderId="7" xfId="0" applyFont="1" applyBorder="1" applyAlignment="1">
      <alignment horizontal="left" vertical="top"/>
    </xf>
    <xf numFmtId="0" fontId="53" fillId="0" borderId="0" xfId="0" applyFont="1" applyFill="1" applyAlignment="1">
      <alignment horizontal="left"/>
    </xf>
    <xf numFmtId="0" fontId="57" fillId="0" borderId="15" xfId="0" applyFont="1" applyFill="1" applyBorder="1" applyAlignment="1">
      <alignment horizontal="left" vertical="top" wrapText="1"/>
    </xf>
    <xf numFmtId="172" fontId="57" fillId="0" borderId="15" xfId="0" applyNumberFormat="1" applyFont="1" applyFill="1" applyBorder="1" applyAlignment="1">
      <alignment horizontal="left" vertical="top" wrapText="1"/>
    </xf>
    <xf numFmtId="0" fontId="57" fillId="0" borderId="2" xfId="0" applyFont="1" applyFill="1" applyBorder="1" applyAlignment="1">
      <alignment horizontal="left" vertical="top" wrapText="1"/>
    </xf>
    <xf numFmtId="0" fontId="58" fillId="0" borderId="0" xfId="0" applyFont="1" applyFill="1" applyAlignment="1">
      <alignment horizontal="left"/>
    </xf>
    <xf numFmtId="172" fontId="59" fillId="0" borderId="15" xfId="0" applyNumberFormat="1" applyFont="1" applyFill="1" applyBorder="1" applyAlignment="1">
      <alignment horizontal="left" vertical="top" wrapText="1"/>
    </xf>
    <xf numFmtId="0" fontId="59" fillId="0" borderId="2" xfId="0" applyFont="1" applyFill="1" applyBorder="1" applyAlignment="1">
      <alignment horizontal="left" vertical="top" wrapText="1"/>
    </xf>
    <xf numFmtId="0" fontId="48" fillId="0" borderId="15" xfId="1" applyFont="1" applyFill="1" applyBorder="1" applyAlignment="1">
      <alignment horizontal="left" vertical="top" wrapText="1"/>
    </xf>
    <xf numFmtId="0" fontId="60" fillId="0" borderId="20" xfId="1" applyFont="1" applyFill="1" applyBorder="1" applyAlignment="1">
      <alignment horizontal="left" vertical="top" wrapText="1"/>
    </xf>
    <xf numFmtId="0" fontId="48" fillId="0" borderId="20" xfId="1" applyFont="1" applyFill="1" applyBorder="1" applyAlignment="1">
      <alignment horizontal="left" vertical="top" wrapText="1"/>
    </xf>
    <xf numFmtId="0" fontId="59" fillId="0" borderId="1" xfId="0" applyFont="1" applyBorder="1" applyAlignment="1">
      <alignment horizontal="left" wrapText="1"/>
    </xf>
    <xf numFmtId="0" fontId="48" fillId="0" borderId="1" xfId="1" applyFont="1" applyBorder="1" applyAlignment="1">
      <alignment horizontal="left" vertical="top" wrapText="1"/>
    </xf>
    <xf numFmtId="0" fontId="57" fillId="0" borderId="2" xfId="0" applyFont="1" applyBorder="1" applyAlignment="1">
      <alignment wrapText="1"/>
    </xf>
    <xf numFmtId="14" fontId="57" fillId="0" borderId="2" xfId="0" applyNumberFormat="1" applyFont="1" applyBorder="1" applyAlignment="1">
      <alignment wrapText="1"/>
    </xf>
    <xf numFmtId="0" fontId="48" fillId="0" borderId="2" xfId="1" applyFont="1" applyBorder="1" applyAlignment="1">
      <alignment wrapText="1"/>
    </xf>
  </cellXfs>
  <cellStyles count="2">
    <cellStyle name="Hyperlink" xfId="1" builtinId="8"/>
    <cellStyle name="Normal" xfId="0" builtinId="0"/>
  </cellStyles>
  <dxfs count="1">
    <dxf>
      <fill>
        <patternFill patternType="solid">
          <fgColor rgb="FF000000"/>
          <bgColor rgb="FFFFFFFF"/>
        </patternFill>
      </fill>
    </dxf>
  </dxfs>
  <tableStyles count="0" defaultTableStyle="TableStyleMedium2" defaultPivotStyle="PivotStyleLight16"/>
  <colors>
    <mruColors>
      <color rgb="FF284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16/impact-of-the-covid-19-pandemic-on-cico-agents-kenya-report-round-3/" TargetMode="External"/><Relationship Id="rId531" Type="http://schemas.openxmlformats.org/officeDocument/2006/relationships/hyperlink" Target="https://www.microsave.net/2025/10/07/step-by-step-building-the-ladder-from-aeps-to-upi-for-indias-last-mile-user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md-farista-andalib/"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kshat-pathak/" TargetMode="External"/><Relationship Id="rId542" Type="http://schemas.openxmlformats.org/officeDocument/2006/relationships/hyperlink" Target="https://www.microsave.net/2026/05/28/rwanda-finscope-2024-digital-financial-services-thematic-report/"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D24L6e"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akhand-jyoti-tiwari/"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346" Type="http://schemas.openxmlformats.org/officeDocument/2006/relationships/hyperlink" Target="https://www.microsave.net/2021/04/08/are-pensions-reaching-the-last-mile-insights-into-the-digitization-of-payments-part-i/"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bit.ly/3OccsdI"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4/02/21/elevating-the-voices-of-affected-people-in-climate-adaptation/" TargetMode="External"/><Relationship Id="rId497" Type="http://schemas.openxmlformats.org/officeDocument/2006/relationships/hyperlink" Target="https://www.microsave.net/2024/12/31/advancing-green-msmes-insights-from-the-talk-on-fintechs-role-in-supporting-green-msmes-in-indonesia/"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2021/06/17/impact-of-covid-19-on-fintechs-vietnam/" TargetMode="External"/><Relationship Id="rId522" Type="http://schemas.openxmlformats.org/officeDocument/2006/relationships/hyperlink" Target="https://www.microsave.net/author/shahrukh-ahmed-latif/"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msc/"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2023/05/18/voices-of-indias-msmes-insights-notes-from-the-diaries-access-to-finance/" TargetMode="External"/><Relationship Id="rId466" Type="http://schemas.openxmlformats.org/officeDocument/2006/relationships/hyperlink" Target="https://www.microsave.net/2024/04/15/understanding-users-experience-with-digital-lending-applications-dlas-in-india/"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7/impact-of-the-covid-19-pandemic-on-farmers-kenya-report-round-3/" TargetMode="External"/><Relationship Id="rId533" Type="http://schemas.openxmlformats.org/officeDocument/2006/relationships/hyperlink" Target="https://www.microsave.net/2025/11/21/gender-intelligent-banking-branch-counters-to-boardrooms/"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2021/10/07/efficacy-of-mgnrega-in-mitigating-the-loss-in-income-and-unemployment-caused-by-the-covid-19-pandemic/"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9/06/building-an-ecosystem-of-collections-through-bbps/" TargetMode="External"/><Relationship Id="rId477" Type="http://schemas.openxmlformats.org/officeDocument/2006/relationships/hyperlink" Target="https://www.microsave.net/author/samveet-sahoo/"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rshi-aadil/" TargetMode="External"/><Relationship Id="rId502" Type="http://schemas.openxmlformats.org/officeDocument/2006/relationships/hyperlink" Target="https://www.microsave.net/author/ayushi-misra/"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anurodh-giri/" TargetMode="External"/><Relationship Id="rId544" Type="http://schemas.openxmlformats.org/officeDocument/2006/relationships/printerSettings" Target="../printerSettings/printerSettings1.bin"/><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5/16/yes-i-get-it-small-deposits-do-make-sense-lessons-from-a-pilot-with-airtel-payments-bank-on-client-communication/" TargetMode="External"/><Relationship Id="rId404" Type="http://schemas.openxmlformats.org/officeDocument/2006/relationships/hyperlink" Target="https://www.microsave.net/2022/09/20/customer-centric-and-responsible-digital-credit-solutions-for-urban-and-rural-non-farm-entrepreneurs-and-smallholder-farmers/" TargetMode="External"/><Relationship Id="rId446" Type="http://schemas.openxmlformats.org/officeDocument/2006/relationships/hyperlink" Target="https://www.microsave.net/author/rajarshi-dutta/"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author/samveet-sahoo/"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14/impact-of-covid-19-on-cico-agents-in-indonesia/" TargetMode="External"/><Relationship Id="rId513" Type="http://schemas.openxmlformats.org/officeDocument/2006/relationships/hyperlink" Target="https://www.microsave.net/author/koumudee-thakur/"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edward-obiko/" TargetMode="External"/><Relationship Id="rId457" Type="http://schemas.openxmlformats.org/officeDocument/2006/relationships/hyperlink" Target="https://www.microsave.net/2024/02/23/frequently-asked-questions-faqs-on-shg-bank-linkage/"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author/kinanti-aldhia-naura/"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anant-jayant-natu/" TargetMode="External"/><Relationship Id="rId359" Type="http://schemas.openxmlformats.org/officeDocument/2006/relationships/hyperlink" Target="https://www.microsave.net/2021/06/21/impact-of-covid-19-on-fintech-bangladesh/" TargetMode="External"/><Relationship Id="rId524" Type="http://schemas.openxmlformats.org/officeDocument/2006/relationships/hyperlink" Target="https://www.microsave.net/author/priyal-advani/"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13/a-review-of-the-effectiveness-of-indias-direct-benefit-transfer-system-during-covid-19-lessons-for-india-and-the-world-2/" TargetMode="External"/><Relationship Id="rId426" Type="http://schemas.openxmlformats.org/officeDocument/2006/relationships/hyperlink" Target="https://www.microsave.net/2023/06/14/climate-resilient-agriculture-crag-whitepaper/"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5/02/smart-payments-playbook-a-guidebook-to-implement-smart-payments-in-the-government-payments-ecosystem/"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8/impact-of-the-covid-19-pandemic-on-micro-small-and-medium-enterprises-msmes-kenya-report-round-3/" TargetMode="External"/><Relationship Id="rId535" Type="http://schemas.openxmlformats.org/officeDocument/2006/relationships/hyperlink" Target="https://www.microsave.net/author/msc/"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tenzin-varm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9/07/conversational-payments-on-upi-unlocking-new-frontiers-for-next-generation-payments/" TargetMode="External"/><Relationship Id="rId479" Type="http://schemas.openxmlformats.org/officeDocument/2006/relationships/hyperlink" Target="https://www.microsave.net/author/samveet-sahoo/"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2/09/empowering-low-and-moderate-income-lmi-consumers-in-the-digital-era-building-trust-and-capacity-for-sustained-use-of-digital-financial-services-dfs/" TargetMode="External"/><Relationship Id="rId504" Type="http://schemas.openxmlformats.org/officeDocument/2006/relationships/hyperlink" Target="https://www.microsave.net/author/kunal-sharma/" TargetMode="External"/><Relationship Id="rId546" Type="http://schemas.openxmlformats.org/officeDocument/2006/relationships/comments" Target="../comments1.xm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bit.ly/33FAmIf" TargetMode="External"/><Relationship Id="rId406" Type="http://schemas.openxmlformats.org/officeDocument/2006/relationships/hyperlink" Target="https://www.microsave.net/2022/09/20/how-digital-payments-drive-financial-inclusion-in-india/"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7/25/insights-note-edition-2-supply-chains-of-informal-enterprises/" TargetMode="External"/><Relationship Id="rId448" Type="http://schemas.openxmlformats.org/officeDocument/2006/relationships/hyperlink" Target="https://www.microsave.net/author/partha-ghosh/"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2025/06/27/how-can-local-bank-branches-in-bangladesh-drive-bangla-qrs-adoption/"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author/anshul-saxena/"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2023/01/27/account-inactivity-in-india-is-there-a-problem/" TargetMode="External"/><Relationship Id="rId459" Type="http://schemas.openxmlformats.org/officeDocument/2006/relationships/hyperlink" Target="https://www.microsave.net/2024/03/04/impact-of-extreme-heat-on-migrant-workers-and-msmes-in-delhi-ncr/"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up-singh/" TargetMode="External"/><Relationship Id="rId470" Type="http://schemas.openxmlformats.org/officeDocument/2006/relationships/hyperlink" Target="https://www.microsave.net/2024/05/06/state-of-the-agent-network-in-indonesia-agent-network-accelerator-ana-research-2023/" TargetMode="External"/><Relationship Id="rId526" Type="http://schemas.openxmlformats.org/officeDocument/2006/relationships/hyperlink" Target="https://www.microsave.net/2025/08/28/bancassurance-in-bangladesh-how-we-can-harness-the-distribution-potential-to-grow-inclusive-insurance/"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3/02/optimizing-groundwater-usage-through-dbt-in-electricity-lessons-from-punjab-part-i/"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16/indias-gender-responsive-policies-during-covid-19-2/" TargetMode="External"/><Relationship Id="rId428" Type="http://schemas.openxmlformats.org/officeDocument/2006/relationships/hyperlink" Target="https://www.microsave.net/author/disha-bhavnani/"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2024/09/09/putting-agents-to-use-insights-from-a-multicountry-research-on-customers-usage-of-cico-agents/"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12/19/the-digital-public-infrastructure-readiness-report/"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bdoulaye-seck/" TargetMode="External"/><Relationship Id="rId383" Type="http://schemas.openxmlformats.org/officeDocument/2006/relationships/hyperlink" Target="https://www.microsave.net/author/msc/" TargetMode="External"/><Relationship Id="rId439" Type="http://schemas.openxmlformats.org/officeDocument/2006/relationships/hyperlink" Target="https://www.microsave.net/2023/09/25/women-and-credit/"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atulya-mishra/" TargetMode="External"/><Relationship Id="rId506" Type="http://schemas.openxmlformats.org/officeDocument/2006/relationships/hyperlink" Target="https://www.microsave.net/author/disha-bhavnani/"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2024/12/13/frauds-the-achilles-heel-of-aeps-transactions/"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www.microsave.net/2021/05/05/impact-of-covid-19-on-fintechs-senegal/" TargetMode="External"/><Relationship Id="rId394" Type="http://schemas.openxmlformats.org/officeDocument/2006/relationships/hyperlink" Target="https://bit.ly/3RrhgNa" TargetMode="External"/><Relationship Id="rId408" Type="http://schemas.openxmlformats.org/officeDocument/2006/relationships/hyperlink" Target="https://www.microsave.net/2022/09/22/how-digital-payments-drive-financial-inclusion-in-india-2/"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author/shewta-menon/" TargetMode="External"/><Relationship Id="rId517" Type="http://schemas.openxmlformats.org/officeDocument/2006/relationships/hyperlink" Target="https://www.microsave.net/author/vineet-anand/"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samveet-sahoo/" TargetMode="External"/><Relationship Id="rId363" Type="http://schemas.openxmlformats.org/officeDocument/2006/relationships/hyperlink" Target="https://www.microsave.net/2021/07/09/way-forward-for-delivery-of-food-subsidy-in-india-lessons-from-unconditional-cash-transfers/" TargetMode="External"/><Relationship Id="rId419" Type="http://schemas.openxmlformats.org/officeDocument/2006/relationships/hyperlink" Target="https://www.microsave.net/2023/01/30/decoding-government-support-to-women-entrepreneurs-in-india/"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8/16/decoding-the-practices-of-cico-agents-in-indonesia/"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5/29/womens-informal-employment-in-the-digital-economy-the-future-of-work-research/" TargetMode="External"/><Relationship Id="rId528" Type="http://schemas.openxmlformats.org/officeDocument/2006/relationships/hyperlink" Target="https://www.microsave.net/2025/09/11/the-landscape-and-financial-access-of-social-commerce-sellers-in-indonesi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3/optimizing-groundwater-usage-through-dbt-in-electricity-lessons-from-punjab-part-ii/" TargetMode="External"/><Relationship Id="rId374" Type="http://schemas.openxmlformats.org/officeDocument/2006/relationships/hyperlink" Target="https://www.microsave.net/2021/11/02/a-primer-on-impact-bonds/"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10/03/mentorship-for-women-entrepreneurs-a-highway-to-growth/" TargetMode="External"/><Relationship Id="rId483" Type="http://schemas.openxmlformats.org/officeDocument/2006/relationships/hyperlink" Target="https://www.microsave.net/author/samveet-sahoo/" TargetMode="External"/><Relationship Id="rId539" Type="http://schemas.openxmlformats.org/officeDocument/2006/relationships/hyperlink" Target="https://www.microsave.net/2026/04/02/the-missing-link-for-agents-a-review-of-agent-grievance-resolution-systems-in-india/" TargetMode="Externa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stri-sri-sulastri/" TargetMode="Externa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khand-jyoti-tiwa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bit.ly/3AlHdY1" TargetMode="External"/><Relationship Id="rId452" Type="http://schemas.openxmlformats.org/officeDocument/2006/relationships/hyperlink" Target="https://www.microsave.net/2024/02/16/cgap-strengthening-climate-resilience-and-adaptation-through-financial-services/" TargetMode="External"/><Relationship Id="rId494" Type="http://schemas.openxmlformats.org/officeDocument/2006/relationships/hyperlink" Target="https://www.microsave.net/author/nikhita-jindal/" TargetMode="External"/><Relationship Id="rId508" Type="http://schemas.openxmlformats.org/officeDocument/2006/relationships/hyperlink" Target="https://www.microsave.net/2025/03/21/breaking-barriers-a-study-on-female-cash-in-cash-out-cico-agents-and-their-potential-to-drive-financial-inclusion/"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28/beyond-the-barriers-of-affordability-an-analysis-of-indias-cooking-fuel-support-program-under-the-covid-19-assistance-package/"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bit.ly/3QmCQkw"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2023/03/24/women-risk-and-consumer-protection-in-online-leading-platforms-in-indonesia/" TargetMode="External"/><Relationship Id="rId463" Type="http://schemas.openxmlformats.org/officeDocument/2006/relationships/hyperlink" Target="https://www.microsave.net/author/nicholas-mungai/" TargetMode="External"/><Relationship Id="rId519" Type="http://schemas.openxmlformats.org/officeDocument/2006/relationships/hyperlink" Target="https://www.microsave.net/2025/07/17/smart-payments-for-smarter-business-with-governments/"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puneet-khanduja/" TargetMode="External"/><Relationship Id="rId530" Type="http://schemas.openxmlformats.org/officeDocument/2006/relationships/hyperlink" Target="https://www.microsave.net/2025/09/26/roadmap-to-strengthen-digital-transactions-in-bangladesh-by-2031/"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8/05/social-assistance-and-information-in-the-initial-phase-of-the-covid-19-crisis-lessons-from-a-household-survey-in-india/"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author/gayatri-pandey/" TargetMode="External"/><Relationship Id="rId474" Type="http://schemas.openxmlformats.org/officeDocument/2006/relationships/hyperlink" Target="https://www.microsave.net/2024/07/03/empowering-female-agents-bridging-the-gender-gap-in-bangladeshs-financial-sector/"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4/analysis-of-indias-payment-system-indicators-in-2020/" TargetMode="External"/><Relationship Id="rId376" Type="http://schemas.openxmlformats.org/officeDocument/2006/relationships/hyperlink" Target="https://www.microsave.net/2021/11/22/covid-19-and-fintechs-in-bangladesh-impact-and-resilience/" TargetMode="External"/><Relationship Id="rId541" Type="http://schemas.openxmlformats.org/officeDocument/2006/relationships/hyperlink" Target="https://www.microsave.net/2026/05/20/how-have-ugandas-micro-and-small-enterprises-recovered-adapted-and-grown-after-covid-19/"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msc/" TargetMode="External"/><Relationship Id="rId443" Type="http://schemas.openxmlformats.org/officeDocument/2006/relationships/hyperlink" Target="https://www.microsave.net/2023/11/16/the-use-of-digital-platforms-for-business-insights-from-womens-business-diaries-in-bangladesh/"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2024/10/22/insights-to-innovations-designing-financial-services-for-women-entrepreneurs/"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elizabeth-berthe/" TargetMode="External"/><Relationship Id="rId387" Type="http://schemas.openxmlformats.org/officeDocument/2006/relationships/hyperlink" Target="https://www.microsave.net/author/disha-bhavnani/" TargetMode="External"/><Relationship Id="rId510" Type="http://schemas.openxmlformats.org/officeDocument/2006/relationships/hyperlink" Target="https://www.microsave.net/2025/04/22/enabling-an-open-source-ai-ecosystem-as-a-building-block-for-public-ai/"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bit.ly/3Al2f8Y"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2024/02/16/agristack-a-dpi-for-farmers-and-the-agriculture-ecosystem/" TargetMode="External"/><Relationship Id="rId496" Type="http://schemas.openxmlformats.org/officeDocument/2006/relationships/hyperlink" Target="https://www.microsave.net/2024/12/26/state-of-indias-informal-sector-a-deep-dive-into-enterprises-statistics-and-segment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6/09/indias-food-security-response-to-covid-19/" TargetMode="External"/><Relationship Id="rId398" Type="http://schemas.openxmlformats.org/officeDocument/2006/relationships/hyperlink" Target="https://bit.ly/3qdru81" TargetMode="External"/><Relationship Id="rId521" Type="http://schemas.openxmlformats.org/officeDocument/2006/relationships/hyperlink" Target="https://www.microsave.net/2025/07/22/building-the-resilience-of-buro-bangladeshs-customers-to-the-impacts-of-climate-change/"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author/vikash-kumar/"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author/disha-bhavnani/"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joyce-murithi/" TargetMode="External"/><Relationship Id="rId367" Type="http://schemas.openxmlformats.org/officeDocument/2006/relationships/hyperlink" Target="https://www.microsave.net/2021/09/14/making-elephants-dance-a-case-study-on-shared-agent-banking-in-uganda/" TargetMode="External"/><Relationship Id="rId532" Type="http://schemas.openxmlformats.org/officeDocument/2006/relationships/hyperlink" Target="https://www.microsave.net/2025/11/04/unlocking-smart-supervision-in-the-pacific/"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arshi-aadil/" TargetMode="External"/><Relationship Id="rId476" Type="http://schemas.openxmlformats.org/officeDocument/2006/relationships/hyperlink" Target="https://www.microsave.net/2024/07/03/sathi-a-flag-bearer-for-womens-financial-inclusion/"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10/working-paper-a-framework-for-building-gender-sensitive-identity-systems/" TargetMode="External"/><Relationship Id="rId501" Type="http://schemas.openxmlformats.org/officeDocument/2006/relationships/hyperlink" Target="https://www.microsave.net/2025/02/13/offering-support-whereit-matters-most-insights-from-assessing-ecosystem-needs-and-their-impact-on-women-entrepreneurs/" TargetMode="External"/><Relationship Id="rId543" Type="http://schemas.openxmlformats.org/officeDocument/2006/relationships/hyperlink" Target="https://www.microsave.net/2026/05/25/designing-and-scaling-instant-payment-systems-lessons-from-nigeria-and-ethiopia/"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1/23/a-framework-to-design-user-centric-social-protection-programs/" TargetMode="External"/><Relationship Id="rId403" Type="http://schemas.openxmlformats.org/officeDocument/2006/relationships/hyperlink" Target="https://www.microsave.net/author/rahul-chatterjee/"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11/16/voices-of-indias-msmes-insights-notes-from-the-diaries-edition-1/" TargetMode="External"/><Relationship Id="rId487" Type="http://schemas.openxmlformats.org/officeDocument/2006/relationships/hyperlink" Target="https://www.microsave.net/2024/11/18/impact-of-digital-platforms-on-microenterprises-bangladesh-country-finding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nikita-dhingra/" TargetMode="External"/><Relationship Id="rId512" Type="http://schemas.openxmlformats.org/officeDocument/2006/relationships/hyperlink" Target="https://www.microsave.net/2025/04/22/advancing-climate-adaptation-planning/"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imansa-khanna/"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bit.ly/3GXQZDd" TargetMode="External"/><Relationship Id="rId456" Type="http://schemas.openxmlformats.org/officeDocument/2006/relationships/hyperlink" Target="https://www.microsave.net/author/graham-a-n-wright/" TargetMode="External"/><Relationship Id="rId498" Type="http://schemas.openxmlformats.org/officeDocument/2006/relationships/hyperlink" Target="https://www.microsave.net/2025/01/08/study-to-assess-the-working-capital-needs-of-womens-collective-enterprise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2021/01/27/16106/" TargetMode="External"/><Relationship Id="rId523" Type="http://schemas.openxmlformats.org/officeDocument/2006/relationships/hyperlink" Target="https://www.microsave.net/2025/07/25/building-trust-through-design-eliminating-dark-patterns-in-digital-financial-services/"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author/truong-thi-le-quyen/"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author/rahul-chatterjee/" TargetMode="External"/><Relationship Id="rId467" Type="http://schemas.openxmlformats.org/officeDocument/2006/relationships/hyperlink" Target="https://www.microsave.net/author/neha-mallick/"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diana-siddiqui/" TargetMode="External"/><Relationship Id="rId369" Type="http://schemas.openxmlformats.org/officeDocument/2006/relationships/hyperlink" Target="https://www.microsave.net/author/kritika-shukla/" TargetMode="External"/><Relationship Id="rId534" Type="http://schemas.openxmlformats.org/officeDocument/2006/relationships/hyperlink" Target="https://www.microsave.net/2025/12/04/agent-lifecycle-playbook/"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2/01/11/impact-of-covid-19-on-fintechs-india-2/" TargetMode="External"/><Relationship Id="rId436" Type="http://schemas.openxmlformats.org/officeDocument/2006/relationships/hyperlink" Target="https://www.microsave.net/author/disha-bhavnani/"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7/03/sathi-evaluation-report/"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2/gootcha-a-framework-to-build-gender-sensitive-id-systems/" TargetMode="External"/><Relationship Id="rId503" Type="http://schemas.openxmlformats.org/officeDocument/2006/relationships/hyperlink" Target="https://www.microsave.net/2025/02/18/enabling-digital-inclusion-lessons-learned-from-a-field-experiment-to-encourage-women-entrepreneurs-to-adopt-digital-tools/" TargetMode="External"/><Relationship Id="rId545" Type="http://schemas.openxmlformats.org/officeDocument/2006/relationships/vmlDrawing" Target="../drawings/vmlDrawing1.vm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nant-tiwari/" TargetMode="External"/><Relationship Id="rId405" Type="http://schemas.openxmlformats.org/officeDocument/2006/relationships/hyperlink" Target="https://www.microsave.net/author/anup-singh/" TargetMode="External"/><Relationship Id="rId447" Type="http://schemas.openxmlformats.org/officeDocument/2006/relationships/hyperlink" Target="https://www.microsave.net/2023/11/24/smallholder-farmers-climate-resilience-index/"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2024/11/20/beyond-fish-curries-a-celebration-of-bihars-traditional-fish-recipes/"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agnes-salyanty/" TargetMode="External"/><Relationship Id="rId514" Type="http://schemas.openxmlformats.org/officeDocument/2006/relationships/hyperlink" Target="https://www.microsave.net/2025/06/12/toolkits-on-locally-led-adaptation-for-communities-and-msmes/"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samveet-sahoo/" TargetMode="External"/><Relationship Id="rId416" Type="http://schemas.openxmlformats.org/officeDocument/2006/relationships/hyperlink" Target="https://www.microsave.net/2023/01/27/impact-of-climate-change-on-smallholder-farmers-and-their-coping-strategies/"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26/enabling-and-financing-locally-led-adaptation-2/"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microsave.net/2021/01/27/impact-of-the-covid-19-pandemic-on-low-and-moderate-income-lmis-populations-and-micro-small-and-medium-enterprises-msmes/" TargetMode="External"/><Relationship Id="rId525" Type="http://schemas.openxmlformats.org/officeDocument/2006/relationships/hyperlink" Target="https://www.microsave.net/2025/08/18/assessment-of-market-systems-for-msme-digitalization-and-device-financing-for-youth-women-inclusive-msmes-in-uganda/"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bhishek-jain/" TargetMode="External"/><Relationship Id="rId427" Type="http://schemas.openxmlformats.org/officeDocument/2006/relationships/hyperlink" Target="https://www.microsave.net/2023/07/12/money-purse-handbook/" TargetMode="External"/><Relationship Id="rId469" Type="http://schemas.openxmlformats.org/officeDocument/2006/relationships/hyperlink" Target="https://www.microsave.net/author/rasika-chopra/"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author/nikhita-jindal/" TargetMode="External"/><Relationship Id="rId536" Type="http://schemas.openxmlformats.org/officeDocument/2006/relationships/hyperlink" Target="https://www.microsave.net/2025/12/19/nigeria-dpi-readiness-of-states-the-intelligent-revenue-authority-ira-readiness-report/"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5/impact-of-the-covid-19-pandemic-on-cico-agents-senegal-country-report/"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2/03/08/rbih-whitepaper-gender-and-finance-in-india/" TargetMode="External"/><Relationship Id="rId438" Type="http://schemas.openxmlformats.org/officeDocument/2006/relationships/hyperlink" Target="https://www.microsave.net/author/mitali-singh/"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2/11/mind-the-gap-closing-the-loopholes-in-consumer-protection-in-digital-financial-services/" TargetMode="External"/><Relationship Id="rId505" Type="http://schemas.openxmlformats.org/officeDocument/2006/relationships/hyperlink" Target="https://www.microsave.net/2025/02/18/her-digital-gateway-how-women-in-india-access-and-use-smartphones/"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elizabeth-berthe/" TargetMode="External"/><Relationship Id="rId393" Type="http://schemas.openxmlformats.org/officeDocument/2006/relationships/hyperlink" Target="https://www.microsave.net/author/rahul-chatterjee/" TargetMode="External"/><Relationship Id="rId407" Type="http://schemas.openxmlformats.org/officeDocument/2006/relationships/hyperlink" Target="https://www.microsave.net/author/vishes-kumar-jena/" TargetMode="External"/><Relationship Id="rId449" Type="http://schemas.openxmlformats.org/officeDocument/2006/relationships/hyperlink" Target="https://www.microsave.net/2023/11/29/strengthening-the-care-economy-benefits-for-developing-countries/"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3/11/the-digidhan-missions-impact-on-indias-digital-payments-ecosystem/" TargetMode="External"/><Relationship Id="rId516" Type="http://schemas.openxmlformats.org/officeDocument/2006/relationships/hyperlink" Target="https://www.microsave.net/2025/07/09/toward-a-trusted-digital-nation-a-multicountry-analysis-on-data-protection-in-africa-and-asia/"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s://www.microsave.net/2021/01/28/impact-of-covid-19-pandemic-on-micro-small-medium-enterprises-msmes-bangladesh-report/"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2021/07/08/five-ways-in-which-the-pandemic-hit-women-and-girls-the-hardest/" TargetMode="External"/><Relationship Id="rId418" Type="http://schemas.openxmlformats.org/officeDocument/2006/relationships/hyperlink" Target="https://www.microsave.net/author/akhand-jyoti-tiwari/"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raunak-kapoor/"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author/alvina-zafar/"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anusha-jain/"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2023/08/02/cash-in-and-cash-out-cico-agent-use-cases-opportunities-for-diversification/"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sonal-jaitly/"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10/08/financial-freedom-at-the-last-mile-the-sathi-network/" TargetMode="External"/><Relationship Id="rId538" Type="http://schemas.openxmlformats.org/officeDocument/2006/relationships/hyperlink" Target="https://www.microsave.net/2026/04/01/resilient-farming-in-the-digital-age-overcoming-agtech-adoption-challenges-in-africa-and-asia/"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23/impact-of-the-covid-19-pandemic-on-program-keluarga-harapan-pkh/" TargetMode="External"/><Relationship Id="rId384" Type="http://schemas.openxmlformats.org/officeDocument/2006/relationships/hyperlink" Target="https://www.microsave.net/2022/03/16/choice-of-channel-understanding-how-lmi-women-select-a-channel-to-conduct-financial-transaction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4/02/15/indias-digital-inclusion-story-lessons-from-the-synergy-of-digital-connectivity-and-dpis/" TargetMode="External"/><Relationship Id="rId493" Type="http://schemas.openxmlformats.org/officeDocument/2006/relationships/hyperlink" Target="https://www.microsave.net/2024/12/19/evaluating-the-wash-action-group-indicator-framework-a-brief-on-the-practices-of-investors-and-their-partners/" TargetMode="External"/><Relationship Id="rId507" Type="http://schemas.openxmlformats.org/officeDocument/2006/relationships/hyperlink" Target="https://www.microsave.net/2025/03/05/from-borrowers-to-builders-womens-role-in-indias-financial-growth-story/" TargetMode="Externa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ira-aprilianti/" TargetMode="External"/><Relationship Id="rId409" Type="http://schemas.openxmlformats.org/officeDocument/2006/relationships/hyperlink" Target="https://www.microsave.net/author/manali-jain/"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www.microsave.net/2023/02/10/understanding-how-low-and-moderate-income-women-in-kenya-choose-channels-for-financial-transactions/"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2024/03/24/indigenous-financial-service-research-in-kenya-ghana-and-togo/" TargetMode="External"/><Relationship Id="rId518" Type="http://schemas.openxmlformats.org/officeDocument/2006/relationships/hyperlink" Target="https://www.microsave.net/author/anik-muntasir-chowdhury/"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2/01/report-impact-of-covid-19-on-routine-healthcare-services-and-ashas/" TargetMode="External"/><Relationship Id="rId364" Type="http://schemas.openxmlformats.org/officeDocument/2006/relationships/hyperlink" Target="https://www.microsave.net/author/ritesh-rautela/"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2023/08/28/the-six-village-story-india-an-assessment-of-the-real-gap-in-financial-inclusion/" TargetMode="External"/><Relationship Id="rId473" Type="http://schemas.openxmlformats.org/officeDocument/2006/relationships/hyperlink" Target="https://www.microsave.net/author/manoj-kumar-nayak/" TargetMode="External"/><Relationship Id="rId529" Type="http://schemas.openxmlformats.org/officeDocument/2006/relationships/hyperlink" Target="https://www.microsave.net/2025/09/26/scoping-study-to-support-the-bangladesh-bank-to-scale-digital-transactions-in-bangladesh-2/"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hyperlink" Target="https://www.microsave.net/author/diana-siddiqui/" TargetMode="Externa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vedika-tibrewala/"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x2XqQ3" TargetMode="External"/><Relationship Id="rId442" Type="http://schemas.openxmlformats.org/officeDocument/2006/relationships/hyperlink" Target="https://www.microsave.net/author/sonal-jaitly/" TargetMode="External"/><Relationship Id="rId484" Type="http://schemas.openxmlformats.org/officeDocument/2006/relationships/hyperlink" Target="https://www.microsave.net/2024/10/21/unlocking-face-authentication-playbook/"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5/impact-of-the-covid-19-pandemic-on-micro-small-and-medium-enterprises-msmes-senegal-country-report/"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4/26/how-did-the-new-pricing-strategy-increase-the-income-for-eko-agents-lessons-from-a-pilot-with-eko-india-financial-services/"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khand-jyoti-tiwari/" TargetMode="External"/><Relationship Id="rId453" Type="http://schemas.openxmlformats.org/officeDocument/2006/relationships/hyperlink" Target="https://www.microsave.net/author/partha-ghosh/" TargetMode="External"/><Relationship Id="rId509" Type="http://schemas.openxmlformats.org/officeDocument/2006/relationships/hyperlink" Target="https://www.microsave.net/author/mitali-singh/"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author/shewta-menon/"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anurodh-giri/" TargetMode="External"/><Relationship Id="rId397" Type="http://schemas.openxmlformats.org/officeDocument/2006/relationships/hyperlink" Target="https://www.microsave.net/author/msc/" TargetMode="External"/><Relationship Id="rId520" Type="http://schemas.openxmlformats.org/officeDocument/2006/relationships/hyperlink" Target="https://www.microsave.net/2025/07/18/before-and-after-smart-payments-a-tale-from-odisha/"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4/11/unlocking-the-potential-of-farmer-producer-companies-in-bihar-insights-from-a-diagnostic-study-2/" TargetMode="External"/><Relationship Id="rId464" Type="http://schemas.openxmlformats.org/officeDocument/2006/relationships/hyperlink" Target="https://www.microsave.net/2024/03/28/tracing-a-path-for-online-selling-for-women-led-businesses-in-india/"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kritika-shuk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9/05/decoding-the-extent-and-exposure-of-financial-fraud-among-dfs-customers/"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samveet-sahoo/" TargetMode="External"/><Relationship Id="rId500" Type="http://schemas.openxmlformats.org/officeDocument/2006/relationships/hyperlink" Target="https://www.microsave.net/author/rajarshi-dutta/"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shrutkirti-dhumal/"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88" Type="http://schemas.openxmlformats.org/officeDocument/2006/relationships/hyperlink" Target="https://www.microsave.net/2022/05/16/a-toolbox-for-business-correspondent-agents-for-better-customer-engagement/" TargetMode="External"/><Relationship Id="rId511" Type="http://schemas.openxmlformats.org/officeDocument/2006/relationships/hyperlink" Target="https://www.microsave.net/author/anshul-pachouri/"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26" Type="http://schemas.openxmlformats.org/officeDocument/2006/relationships/hyperlink" Target="https://www.microsave.net/2021/01/27/impact-of-the-covid-19-pandemic-on-low-and-moderate-income-lmis-populations-and-micro-small-and-medium-enterprises-msmes-2/"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5" Type="http://schemas.openxmlformats.org/officeDocument/2006/relationships/hyperlink" Target="https://www.microsave.net/2025/12/16/timely-wages-trusted-payments-smart-payments-for-urban-livelihoods/"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24" Type="http://schemas.openxmlformats.org/officeDocument/2006/relationships/hyperlink" Target="https://www.microsave.net/2024/10/08/financial-freedom-at-the-last-mile-the-sathi-network/"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 Id="rId6" Type="http://schemas.openxmlformats.org/officeDocument/2006/relationships/hyperlink" Target="https://www.microsave.net/2022/05/16/a-toolbox-for-business-correspondent-agents-for-better-customer-engagement/" TargetMode="External"/><Relationship Id="rId5" Type="http://schemas.openxmlformats.org/officeDocument/2006/relationships/hyperlink" Target="https://www.microsave.net/2026/03/31/how-digital-reforms-in-food-subsidy-settlements-can-speed-up-intergovernmental-transfers-in-india/" TargetMode="External"/><Relationship Id="rId4" Type="http://schemas.openxmlformats.org/officeDocument/2006/relationships/hyperlink" Target="https://www.microsave.net/2018/11/08/digital-governance-is-krishna-a-glimpse-of-the-futur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4.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4.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nextbillion.net/online-commerce-covid19-industry-bangladesh/" TargetMode="External"/><Relationship Id="rId117" Type="http://schemas.openxmlformats.org/officeDocument/2006/relationships/hyperlink" Target="https://www.hindustantimes.com/ht-insight/governance/indias-next-social-protection-is-care-not-cash-101775483986888.html" TargetMode="External"/><Relationship Id="rId21" Type="http://schemas.openxmlformats.org/officeDocument/2006/relationships/hyperlink" Target="https://www.thehindubusinessline.com/opinion/caregiving-the-hidden-engine-of-the-economy/article65258954.ece" TargetMode="External"/><Relationship Id="rId42" Type="http://schemas.openxmlformats.org/officeDocument/2006/relationships/hyperlink" Target="https://nextbillion.net/lessons-from-indian-fintech-startups/" TargetMode="External"/><Relationship Id="rId47" Type="http://schemas.openxmlformats.org/officeDocument/2006/relationships/hyperlink" Target="https://www.undp.org/pacific/projects/pacific-financial-inclusion-programme" TargetMode="External"/><Relationship Id="rId63" Type="http://schemas.openxmlformats.org/officeDocument/2006/relationships/hyperlink" Target="https://www.thehindubusinessline.com/opinion/why-womens-savings-dont-translate-into-credit/article68661136.ece" TargetMode="External"/><Relationship Id="rId68" Type="http://schemas.openxmlformats.org/officeDocument/2006/relationships/hyperlink" Target="https://nextbillion.net/full-yet-undernourished-india-nutrition-security/" TargetMode="External"/><Relationship Id="rId84" Type="http://schemas.openxmlformats.org/officeDocument/2006/relationships/hyperlink" Target="https://www.microsave.net/2026/01/02/gender-intelligent-banking-is-a-key-to-viksit-bharat-is-the-financial-sector-ready-to-contribute/" TargetMode="External"/><Relationship Id="rId89" Type="http://schemas.openxmlformats.org/officeDocument/2006/relationships/hyperlink" Target="https://www.hindustantimes.com/ht-insight/international-affairs/indianew-zealand-fta-limited-trade-yet-larger-signals-101768894856070-amp.html?articleno=1" TargetMode="External"/><Relationship Id="rId112" Type="http://schemas.openxmlformats.org/officeDocument/2006/relationships/hyperlink" Target="https://www.biospectrumindia.com/views/81/27384/healthcare-sector-key-announcements-and-implications-union-budget-202627.html" TargetMode="External"/><Relationship Id="rId16" Type="http://schemas.openxmlformats.org/officeDocument/2006/relationships/hyperlink" Target="https://www.thehindubusinessline.com/opinion/why-women-entrepreneurs-are-seeking-mentors/article67584380.ece" TargetMode="External"/><Relationship Id="rId107" Type="http://schemas.openxmlformats.org/officeDocument/2006/relationships/hyperlink" Target="https://www.microsave.net/2026/02/23/protecting-climate-vulnerable-how-microloans-and-microinsurance-can-build-systemic-disaster-resilience/" TargetMode="External"/><Relationship Id="rId11" Type="http://schemas.openxmlformats.org/officeDocument/2006/relationships/hyperlink" Target="https://www.thejakartapost.com/opinion/2024/11/27/beyond-the-catch-how-fish-can-fuel-a-healthier-indonesia.html" TargetMode="External"/><Relationship Id="rId32" Type="http://schemas.openxmlformats.org/officeDocument/2006/relationships/hyperlink" Target="https://sokodirectory.com/2020/05/the-power-of-unified-digital-agricultural-services/" TargetMode="External"/><Relationship Id="rId37" Type="http://schemas.openxmlformats.org/officeDocument/2006/relationships/hyperlink" Target="https://health.economictimes.indiatimes.com/news/industry/an-insight-into-the-case-fatality-rate-and-preventive-measures-taken-by-government-in-response-to-covid-19/75567454" TargetMode="External"/><Relationship Id="rId53" Type="http://schemas.openxmlformats.org/officeDocument/2006/relationships/hyperlink" Target="https://www.cgap.org/blog/whats-undermining-indias-financial-inclusion-progress" TargetMode="External"/><Relationship Id="rId58" Type="http://schemas.openxmlformats.org/officeDocument/2006/relationships/hyperlink" Target="https://www.microsave.net/2015/10/15/5146/" TargetMode="External"/><Relationship Id="rId74" Type="http://schemas.openxmlformats.org/officeDocument/2006/relationships/hyperlink" Target="https://thecsruniverse.com/articles/a-digital-key-to-women-s-credit-integrating-shgs-with-india-s-finance-system" TargetMode="External"/><Relationship Id="rId79" Type="http://schemas.openxmlformats.org/officeDocument/2006/relationships/hyperlink" Target="https://www.tbsnews.net/thoughts/interoperability-bangladesh-stakes-setbacks-and-way-ahead-1306371" TargetMode="External"/><Relationship Id="rId102" Type="http://schemas.openxmlformats.org/officeDocument/2006/relationships/hyperlink" Target="https://www.tribuneindia.com/news/business/from-pilots-to-impact-pre-ai-summit-pushes-scalable-ai-for-indian-agriculture/" TargetMode="External"/><Relationship Id="rId123" Type="http://schemas.openxmlformats.org/officeDocument/2006/relationships/hyperlink" Target="https://www.microsave.net/2026/05/27/console-code-change-tapping-the-power-of-video-games-for-social-impact/" TargetMode="External"/><Relationship Id="rId5" Type="http://schemas.openxmlformats.org/officeDocument/2006/relationships/hyperlink" Target="https://www.pressreader.com/india/millennium-post-kolkata/20250408/281994678316319" TargetMode="External"/><Relationship Id="rId90" Type="http://schemas.openxmlformats.org/officeDocument/2006/relationships/hyperlink" Target="https://www.microsave.net/2026/01/20/the-quiet-crisis-of-care-in-a-young-and-ageing-india/" TargetMode="External"/><Relationship Id="rId95" Type="http://schemas.openxmlformats.org/officeDocument/2006/relationships/hyperlink" Target="https://etedge-insights.com/in-focus/budget-2026/from-infrastructure-to-intelligence-rethinking-indias-health-priorities-in-budget-2026/" TargetMode="External"/><Relationship Id="rId22" Type="http://schemas.openxmlformats.org/officeDocument/2006/relationships/hyperlink" Target="https://www.cgap.org/blog/cool-crisis-how-bangladeshi-mfis-stay-resilient?utm_source=hootsuite&amp;utm_medium=&amp;utm_term=&amp;utm_content=&amp;utm_campaign" TargetMode="External"/><Relationship Id="rId27" Type="http://schemas.openxmlformats.org/officeDocument/2006/relationships/hyperlink" Target="https://nextbillion.net/india-transform-fertilizer-subsidy-program/" TargetMode="External"/><Relationship Id="rId43" Type="http://schemas.openxmlformats.org/officeDocument/2006/relationships/hyperlink" Target="https://nextbillion.net/future-of-financial-inclusion/" TargetMode="External"/><Relationship Id="rId48" Type="http://schemas.openxmlformats.org/officeDocument/2006/relationships/hyperlink" Target="http://telecom.economictimes.indiatimes.com/tele-talk/will-mobile-network-operators-make-it-as-payments-banks/1724" TargetMode="External"/><Relationship Id="rId64" Type="http://schemas.openxmlformats.org/officeDocument/2006/relationships/hyperlink" Target="https://blogs.griffith.edu.au/asiainsights/bridging-the-digital-divide-by-enhancing-effective-digital-finance-usage-among-the-poor-an-rct-project-part-2/" TargetMode="External"/><Relationship Id="rId69" Type="http://schemas.openxmlformats.org/officeDocument/2006/relationships/hyperlink" Target="https://www.thehindubusinessline.com/opinion/addressing-the-soil-health-crisis/article9579745.ece" TargetMode="External"/><Relationship Id="rId113" Type="http://schemas.openxmlformats.org/officeDocument/2006/relationships/hyperlink" Target="https://etedge-insights.com/sdgs-and-esg/climate-change/india-must-clearly-link-its-climate-goals-to-public-spending/" TargetMode="External"/><Relationship Id="rId118" Type="http://schemas.openxmlformats.org/officeDocument/2006/relationships/hyperlink" Target="https://www.microsave.net/2026/04/08/from-borrowers-to-builders-women-and-indias-evolving-credit-market/" TargetMode="External"/><Relationship Id="rId80" Type="http://schemas.openxmlformats.org/officeDocument/2006/relationships/hyperlink" Target="https://www.microsave.net/2025/12/22/the-policy-paradox-at-the-heart-of-bangladeshs-digital-finance-story/" TargetMode="External"/><Relationship Id="rId85" Type="http://schemas.openxmlformats.org/officeDocument/2006/relationships/hyperlink" Target="https://www.thehansindia.com/amp/news/business/gender-intelligent-banking-is-a-key-to-viksit-bharat-is-the-financial-sector-ready-to-contribute-949025" TargetMode="External"/><Relationship Id="rId12"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17" Type="http://schemas.openxmlformats.org/officeDocument/2006/relationships/hyperlink" Target="https://government.economictimes.indiatimes.com/blog/atmanirbhar-naari-for-an-atmanirbhar-india/103574301" TargetMode="External"/><Relationship Id="rId33"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38" Type="http://schemas.openxmlformats.org/officeDocument/2006/relationships/hyperlink" Target="https://today.thefinancialexpress.com.bd/views-opinion/is-it-the-right-time-for-wallet-interoperability-in-bangladesh-1587910037" TargetMode="External"/><Relationship Id="rId59" Type="http://schemas.openxmlformats.org/officeDocument/2006/relationships/hyperlink" Target="https://magdalene.co/story/financial-inclusion-women-disabilities-indonesia/" TargetMode="External"/><Relationship Id="rId103" Type="http://schemas.openxmlformats.org/officeDocument/2006/relationships/hyperlink" Target="https://www.microsave.net/2026/02/18/the-microfinance-bank-ordinance-a-blueprint-for-social-ownership-or-tokenistic-theater/" TargetMode="External"/><Relationship Id="rId108" Type="http://schemas.openxmlformats.org/officeDocument/2006/relationships/hyperlink" Target="https://www.microsave.net/2026/02/26/healthcare-sector-key-announcements-and-implications-union-budget-2026-27/" TargetMode="External"/><Relationship Id="rId124" Type="http://schemas.openxmlformats.org/officeDocument/2006/relationships/hyperlink" Target="https://www.hindustantimes.com/ht-insight/gender-equality/how-households-shape-gender-equality-outcomes-101779965349206.html" TargetMode="External"/><Relationship Id="rId54" Type="http://schemas.openxmlformats.org/officeDocument/2006/relationships/hyperlink" Target="https://www.gsma.com/solutions-and-impact/connectivity-for-good/mobile-for-development/country/india/can-india-achieve-financial-inclusion-without-the-mobile-network-operators/" TargetMode="External"/><Relationship Id="rId70" Type="http://schemas.openxmlformats.org/officeDocument/2006/relationships/hyperlink" Target="https://www.microsave.net/2025/09/15/microfinance-institutions-must-go-digital-first-but-what-holds-them-back/" TargetMode="External"/><Relationship Id="rId75" Type="http://schemas.openxmlformats.org/officeDocument/2006/relationships/hyperlink" Target="https://aninews.in/news/business/indian-banks-can-unlock-usd-688-bn-opportunity-through-gender-intelligent-banking-report20251121175831/" TargetMode="External"/><Relationship Id="rId91" Type="http://schemas.openxmlformats.org/officeDocument/2006/relationships/hyperlink" Target="https://reimaginingthefamily.in/the-quiet-crisis-of-care-in-a-young-and-ageing-india/" TargetMode="External"/><Relationship Id="rId96" Type="http://schemas.openxmlformats.org/officeDocument/2006/relationships/hyperlink" Target="https://www.microsave.net/2026/02/02/agriculture-in-budget-why-the-next-leap-must-be-strategic-not-incremental/"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nuffoodsspectrum.in/2025/03/06/from-food-security-towards-nutrition-security.html" TargetMode="External"/><Relationship Id="rId23" Type="http://schemas.openxmlformats.org/officeDocument/2006/relationships/hyperlink" Target="https://nextbillion.net/covid19-india-healthcare-system-future-shocks/" TargetMode="External"/><Relationship Id="rId28" Type="http://schemas.openxmlformats.org/officeDocument/2006/relationships/hyperlink" Target="https://www.findevgateway.org/blog/2020/11/will-pandemic-exacerbate-or-mitigate-digital-gender-gap" TargetMode="External"/><Relationship Id="rId49" Type="http://schemas.openxmlformats.org/officeDocument/2006/relationships/hyperlink" Target="http://cfi-blog.org/" TargetMode="External"/><Relationship Id="rId114" Type="http://schemas.openxmlformats.org/officeDocument/2006/relationships/hyperlink" Target="https://www.microsave.net/2026/03/17/smriti-irani-launches-equity-economics-forum-in-new-york-to-advance-global-south-equity-agenda/" TargetMode="External"/><Relationship Id="rId119" Type="http://schemas.openxmlformats.org/officeDocument/2006/relationships/hyperlink" Target="https://www.microsave.net/2026/04/10/leveraging-the-currency-of-trust-how-social-commerce-data-can-inform-risk-management-and-bring-formal-finance-to-women-led-msmes/" TargetMode="External"/><Relationship Id="rId44" Type="http://schemas.openxmlformats.org/officeDocument/2006/relationships/hyperlink" Target="https://www.uncdf.org/shift/homepage" TargetMode="External"/><Relationship Id="rId60" Type="http://schemas.openxmlformats.org/officeDocument/2006/relationships/hyperlink" Target="https://www.insideindonesia.org/archive/articles/disability-and-exclusion" TargetMode="External"/><Relationship Id="rId65" Type="http://schemas.openxmlformats.org/officeDocument/2006/relationships/hyperlink" Target="https://www.thefinancialexpress.com.bd/views/views/facilitating-cottage-micro-small-and-medium-enterprises-in-the-pandemic-1632581645" TargetMode="External"/><Relationship Id="rId81" Type="http://schemas.openxmlformats.org/officeDocument/2006/relationships/hyperlink" Target="https://www.microsave.net/author/alvina-zafar/" TargetMode="External"/><Relationship Id="rId86" Type="http://schemas.openxmlformats.org/officeDocument/2006/relationships/hyperlink" Target="https://www.microsave.net/2026/01/12/women-must-power-the-digital-economy/" TargetMode="External"/><Relationship Id="rId13" Type="http://schemas.openxmlformats.org/officeDocument/2006/relationships/hyperlink" Target="https://economictimes.indiatimes.com/opinion/et-commentary/view-digital-gender-equality-strives-to-connect-half-the-world-to-the-internet/articleshow/99893652.cms" TargetMode="External"/><Relationship Id="rId18" Type="http://schemas.openxmlformats.org/officeDocument/2006/relationships/hyperlink" Target="https://www.financialaccess.org/blog/2022/6/2/the-revolution-must-be-digitalized" TargetMode="External"/><Relationship Id="rId39"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109" Type="http://schemas.openxmlformats.org/officeDocument/2006/relationships/hyperlink" Target="https://www.microsave.net/2026/02/27/india-must-clearly-link-its-climate-goals-to-public-spending/" TargetMode="External"/><Relationship Id="rId34" Type="http://schemas.openxmlformats.org/officeDocument/2006/relationships/hyperlink" Target="https://nextbillion.net/weathering-covid-fintech-survive-pandemic/?utm_sq=gfdbsj8118&amp;utm_source=twitter&amp;utm_medium=social&amp;utm_campaign=nextbillionfh&amp;utm_content=mscposts" TargetMode="External"/><Relationship Id="rId50" Type="http://schemas.openxmlformats.org/officeDocument/2006/relationships/hyperlink" Target="http://cfi-blog.org/" TargetMode="External"/><Relationship Id="rId55" Type="http://schemas.openxmlformats.org/officeDocument/2006/relationships/hyperlink" Target="https://krishijagran.com/featured/millets-the-nutritional-powerhouse-for-a-sustainable-india/" TargetMode="External"/><Relationship Id="rId76" Type="http://schemas.openxmlformats.org/officeDocument/2006/relationships/hyperlink" Target="https://www.hindustantimes.com/ht-insight/governance/how-a-government-scheme-turned-gender-intelligence-into-assets-101764314009087.html" TargetMode="External"/><Relationship Id="rId97" Type="http://schemas.openxmlformats.org/officeDocument/2006/relationships/hyperlink" Target="https://www.thehindubusinessline.com/economy/agri-business/agriculture-in-budget-why-the-next-leap-must-be-strategic-not-incremental/article70571682.ece" TargetMode="External"/><Relationship Id="rId104" Type="http://schemas.openxmlformats.org/officeDocument/2006/relationships/hyperlink" Target="https://www.thedailystar.net/business/news/the-microfinance-bank-ordinance-blueprint-social-ownership-or-tokenistic-theater-4108381" TargetMode="External"/><Relationship Id="rId120" Type="http://schemas.openxmlformats.org/officeDocument/2006/relationships/hyperlink" Target="https://niti.gov.in/whats-new/borrowers-builders-women-and-indias-evolving-credit-market" TargetMode="External"/><Relationship Id="rId125" Type="http://schemas.openxmlformats.org/officeDocument/2006/relationships/hyperlink" Target="https://www.microsave.net/2026/05/29/how-households-shape-gender-equality-outcomes/" TargetMode="External"/><Relationship Id="rId7" Type="http://schemas.openxmlformats.org/officeDocument/2006/relationships/hyperlink" Target="https://www.tbsnews.net/thoughts/can-bangladesh-close-credit-gap-microenterprises-through-digital-platforms-1090396" TargetMode="External"/><Relationship Id="rId71" Type="http://schemas.openxmlformats.org/officeDocument/2006/relationships/hyperlink" Target="https://www.microsave.net/2025/10/06/scaling-what-matters-empowering-agents-with-meaningful-communication-design/" TargetMode="External"/><Relationship Id="rId92" Type="http://schemas.openxmlformats.org/officeDocument/2006/relationships/hyperlink" Target="https://www.microsave.net/2026/01/27/ai-pre-summit-2026-people-planet-and-progress-shape-indonesia-india-cooperation-toward-ethical-ai-and-a-safer-digital-future/" TargetMode="External"/><Relationship Id="rId2" Type="http://schemas.openxmlformats.org/officeDocument/2006/relationships/hyperlink" Target="https://www.expresshealthcare.in/news/why-indias-expanding-waistline-demands-urgent-attention/449139/" TargetMode="External"/><Relationship Id="rId29" Type="http://schemas.openxmlformats.org/officeDocument/2006/relationships/hyperlink" Target="https://www.livemint.com/Opinion/WzvT7XP8m6cLBIqPx4Ff1I/Opinion--Designing-financial-products-for-women.html" TargetMode="External"/><Relationship Id="rId24" Type="http://schemas.openxmlformats.org/officeDocument/2006/relationships/hyperlink" Target="https://www.thedailystar.net/business/news/96pc-small-enterprises-suffer-fall-income-study-2036709" TargetMode="External"/><Relationship Id="rId40" Type="http://schemas.openxmlformats.org/officeDocument/2006/relationships/hyperlink" Target="https://thefinancialexpress.com.bd/views/analysis/the-dfs-ecosystem-in-bangladesh-1584113440" TargetMode="External"/><Relationship Id="rId45"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6" Type="http://schemas.openxmlformats.org/officeDocument/2006/relationships/hyperlink" Target="https://nextbillion.net/financial-inclusion-success-stories-covid19/" TargetMode="External"/><Relationship Id="rId87" Type="http://schemas.openxmlformats.org/officeDocument/2006/relationships/hyperlink" Target="https://www.dhakatribune.com/amp/opinion/op-ed/400529/women-must-power-the-digital-economy?utm_source=chatgpt.com" TargetMode="External"/><Relationship Id="rId110" Type="http://schemas.openxmlformats.org/officeDocument/2006/relationships/hyperlink" Target="https://www.tbsnews.net/supplement/protecting-climate-vulnerable-how-microloans-and-microinsurance-can-build-systemic" TargetMode="External"/><Relationship Id="rId115" Type="http://schemas.openxmlformats.org/officeDocument/2006/relationships/hyperlink" Target="https://thecsruniverse.com/articles/smriti-irani-launches-equity-economics-forum-in-new-york-to-advance-global-south-equity-agenda" TargetMode="External"/><Relationship Id="rId61" Type="http://schemas.openxmlformats.org/officeDocument/2006/relationships/hyperlink" Target="https://krishijagran.com/featured/from-ration-shops-to-nutrition-hubs-a-nutritional-revolution-in-the-making/" TargetMode="External"/><Relationship Id="rId82" Type="http://schemas.openxmlformats.org/officeDocument/2006/relationships/hyperlink" Target="https://www.tbsnews.net/thoughts/policy-paradox-heart-bangladeshs-digital-finance-story-1313211" TargetMode="External"/><Relationship Id="rId19" Type="http://schemas.openxmlformats.org/officeDocument/2006/relationships/hyperlink" Target="https://nextbillion.net/india-financial-inclusion-women-close-gender-gap/" TargetMode="External"/><Relationship Id="rId14" Type="http://schemas.openxmlformats.org/officeDocument/2006/relationships/hyperlink" Target="https://www.indiamobilecongress.com/docs/India_Digital_Inclusion.pdf" TargetMode="External"/><Relationship Id="rId30" Type="http://schemas.openxmlformats.org/officeDocument/2006/relationships/hyperlink" Target="https://nextbillion.net/indonesias-fintech-startups-survive-covid19/" TargetMode="External"/><Relationship Id="rId35" Type="http://schemas.openxmlformats.org/officeDocument/2006/relationships/hyperlink" Target="https://nextbillion.net/weathering-covid-emerging-markets-fintech/?utm_sq=gfda0ykvsb&amp;utm_source=twitter&amp;utm_medium=social&amp;utm_campaign=nextbillion&amp;utm_content=mscposts" TargetMode="External"/><Relationship Id="rId56" Type="http://schemas.openxmlformats.org/officeDocument/2006/relationships/hyperlink" Target="https://www.thehindubusinessline.com/opinion/bridging-the-care-deficit/article66854445.ece" TargetMode="External"/><Relationship Id="rId77" Type="http://schemas.openxmlformats.org/officeDocument/2006/relationships/hyperlink" Target="https://www.garp.org/risk-intelligence/sustainability-climate/when-risk-models-fail-251127" TargetMode="External"/><Relationship Id="rId100" Type="http://schemas.openxmlformats.org/officeDocument/2006/relationships/hyperlink" Target="https://www.hindustantimes.com/ht-insight/future-tech/why-ai-inclusion-matters-more-than-ai-innovation-101770108944375.html" TargetMode="External"/><Relationship Id="rId105" Type="http://schemas.openxmlformats.org/officeDocument/2006/relationships/hyperlink" Target="https://www.microsave.net/2026/02/19/what-to-watch-for-if-ai-is-to-strengthen-state-capacity/" TargetMode="External"/><Relationship Id="rId126" Type="http://schemas.openxmlformats.org/officeDocument/2006/relationships/printerSettings" Target="../printerSettings/printerSettings2.bin"/><Relationship Id="rId8" Type="http://schemas.openxmlformats.org/officeDocument/2006/relationships/hyperlink" Target="https://www.expresshealthcare.in/digital-issue/express-healthcare-december-2024/447213/" TargetMode="External"/><Relationship Id="rId51" Type="http://schemas.openxmlformats.org/officeDocument/2006/relationships/hyperlink" Target="http://cfi-blog.org/" TargetMode="External"/><Relationship Id="rId72" Type="http://schemas.openxmlformats.org/officeDocument/2006/relationships/hyperlink" Target="https://www.microsave.net/2025/10/31/ethiopian-government-delegation-visits-india-for-learning-exchange-on-nrlm/" TargetMode="External"/><Relationship Id="rId93" Type="http://schemas.openxmlformats.org/officeDocument/2006/relationships/hyperlink" Target="https://www.indianembassyjakarta.gov.in/users/assets/pdf/press/press__5631146.pdf" TargetMode="External"/><Relationship Id="rId98" Type="http://schemas.openxmlformats.org/officeDocument/2006/relationships/hyperlink" Target="https://www.microsave.net/2026/02/02/union-budget-2026-mscs-expert-analysis/" TargetMode="External"/><Relationship Id="rId121" Type="http://schemas.openxmlformats.org/officeDocument/2006/relationships/hyperlink" Target="https://nextbillion.net/leveraging-currency-of-trust-how-social-commerce-data-can-inform-risk-management-bring-formal-finance-to-women-led-msmes/" TargetMode="External"/><Relationship Id="rId3" Type="http://schemas.openxmlformats.org/officeDocument/2006/relationships/hyperlink" Target="https://www.hindustantimes.com/ht-insight/economy/from-upi-to-uli-india-s-next-digital-infrastructure-imperative-101751615616271.html" TargetMode="External"/><Relationship Id="rId25" Type="http://schemas.openxmlformats.org/officeDocument/2006/relationships/hyperlink" Target="https://nextbillion.net/fintechs-data-strategy-business/?utm_sq=glq8ybw6d4&amp;utm_source=twitter&amp;utm_medium=social&amp;utm_campaign=nextbillion&amp;utm_content=nbdailyposttweets" TargetMode="External"/><Relationship Id="rId46" Type="http://schemas.openxmlformats.org/officeDocument/2006/relationships/hyperlink" Target="https://nextbillion.net/the-clear-blue-water-on-the-other-side-of-the-digital-divide/" TargetMode="External"/><Relationship Id="rId67" Type="http://schemas.openxmlformats.org/officeDocument/2006/relationships/hyperlink" Target="https://nextbillion.net/gender-gap-women-coronavirus-low-income-countries/" TargetMode="External"/><Relationship Id="rId116" Type="http://schemas.openxmlformats.org/officeDocument/2006/relationships/hyperlink" Target="https://www.microsave.net/2026/04/07/indias-next-social-protection-is-care-not-cash/" TargetMode="External"/><Relationship Id="rId20" Type="http://schemas.openxmlformats.org/officeDocument/2006/relationships/hyperlink" Target="https://theprint.in/opinion/job-losses-business-closure-covid-hit-female-entrepreneurs-heres-how-to-support-them/624570/" TargetMode="External"/><Relationship Id="rId41"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62" Type="http://schemas.openxmlformats.org/officeDocument/2006/relationships/hyperlink" Target="https://www.findevgateway.org/blog/2024/08/five-recommendations-to-address-insurance-mis-selling" TargetMode="External"/><Relationship Id="rId83" Type="http://schemas.openxmlformats.org/officeDocument/2006/relationships/hyperlink" Target="https://www.microsave.net/2025/12/22/cities-that-care-incorporate-caregiving-infrastructure-into-urban-planning/" TargetMode="External"/><Relationship Id="rId88" Type="http://schemas.openxmlformats.org/officeDocument/2006/relationships/hyperlink" Target="https://www.microsave.net/2026/01/20/womens-collectives-driving-indias-next-phase-of-growth/" TargetMode="External"/><Relationship Id="rId111" Type="http://schemas.openxmlformats.org/officeDocument/2006/relationships/hyperlink" Target="https://www.microsave.net/author/puneet-khanduja/" TargetMode="External"/><Relationship Id="rId15" Type="http://schemas.openxmlformats.org/officeDocument/2006/relationships/hyperlink" Target="https://www.hertie-school.org/en/digital-governance/research/blog/detail/content/careful-not-customary-how-can-consent-terms-be-better-designed-to-protect-users" TargetMode="External"/><Relationship Id="rId36" Type="http://schemas.openxmlformats.org/officeDocument/2006/relationships/hyperlink" Target="https://www.zeebiz.com/india/news-one-nation-one-ration-card-5-ways-to-really-help-pds-beneficiaries-127403" TargetMode="External"/><Relationship Id="rId57" Type="http://schemas.openxmlformats.org/officeDocument/2006/relationships/hyperlink" Target="https://nextbillion.net/bank-accounts-women-gender-centric-financial-services/6944653812_f1a01d647e_k/" TargetMode="External"/><Relationship Id="rId106" Type="http://schemas.openxmlformats.org/officeDocument/2006/relationships/hyperlink" Target="https://www.expresscomputer.in/guest-blogs/budget-2026-27-and-indiaai-what-to-watch-for-if-ai-is-to-strengthen-state-capacity/132035/" TargetMode="External"/><Relationship Id="rId10" Type="http://schemas.openxmlformats.org/officeDocument/2006/relationships/hyperlink" Target="https://www.findevgateway.org/blog/2024/10/how-to-fight-fraud-against-government-program-beneficiaries-in-india" TargetMode="External"/><Relationship Id="rId31" Type="http://schemas.openxmlformats.org/officeDocument/2006/relationships/hyperlink" Target="https://nextbillion.net/12-recommendations-help-financial-institutions-covid/" TargetMode="External"/><Relationship Id="rId52" Type="http://schemas.openxmlformats.org/officeDocument/2006/relationships/hyperlink" Target="http://monthofmicrofinance.org/engage/blog/should-microfinance-go-digital/" TargetMode="External"/><Relationship Id="rId73" Type="http://schemas.openxmlformats.org/officeDocument/2006/relationships/hyperlink" Target="https://www.microsave.net/2025/11/07/29th-conference-of-the-parties-expectations-outcomes-and-debates-around-major-agenda-items/" TargetMode="External"/><Relationship Id="rId78" Type="http://schemas.openxmlformats.org/officeDocument/2006/relationships/hyperlink" Target="https://www.microsave.net/2025/12/11/interoperability-in-bangladesh-the-stakes-the-setbacks-and-the-way-ahead/" TargetMode="External"/><Relationship Id="rId94" Type="http://schemas.openxmlformats.org/officeDocument/2006/relationships/hyperlink" Target="https://www.microsave.net/2026/02/02/from-infrastructure-to-intelligence-rethinking-indias-health-priorities-in-budget-2026/" TargetMode="External"/><Relationship Id="rId99" Type="http://schemas.openxmlformats.org/officeDocument/2006/relationships/hyperlink" Target="https://www.microsave.net/2026/02/04/why-ai-inclusion-matters-more-than-ai-innovation/" TargetMode="External"/><Relationship Id="rId101" Type="http://schemas.openxmlformats.org/officeDocument/2006/relationships/hyperlink" Target="https://www.microsave.net/2026/02/17/from-pilots-to-impact-pre-ai-summit-pushes-scalable-ai-for-indian-agriculture/" TargetMode="External"/><Relationship Id="rId122" Type="http://schemas.openxmlformats.org/officeDocument/2006/relationships/hyperlink" Target="https://etedge-insights.com/industry/media-and-entertainment/playing-for-change-why-gaming-must-go-beyond-profit-and-addiction/?amp=1" TargetMode="External"/><Relationship Id="rId4" Type="http://schemas.openxmlformats.org/officeDocument/2006/relationships/hyperlink" Target="https://nuffoodsspectrum.in/2025/06/02/strengthening-nutrition-security-through-multi-stakeholder-action.html" TargetMode="External"/><Relationship Id="rId9" Type="http://schemas.openxmlformats.org/officeDocument/2006/relationships/hyperlink" Target="https://www.e-mfp.eu/_files/ugd/a1f099_97c2083ff8574f2e9ee16bbdfd401513.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author/putu-monica-christy/" TargetMode="External"/><Relationship Id="rId769" Type="http://schemas.openxmlformats.org/officeDocument/2006/relationships/hyperlink" Target="https://www.microsave.net/2023/12/14/digital-platform-cooperatives-a-step-closer-to-equality-and-inclusion/" TargetMode="External"/><Relationship Id="rId976" Type="http://schemas.openxmlformats.org/officeDocument/2006/relationships/hyperlink" Target="https://www.microsave.net/2025/11/14/the-building-blocks-of-agristack-state-farmer-registry/"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2022/02/03/train-me-like-this-lessons-from-a-pilot-with-cdot-and-jrgb-on-cico-agent-training/" TargetMode="External"/><Relationship Id="rId629" Type="http://schemas.openxmlformats.org/officeDocument/2006/relationships/hyperlink" Target="https://bit.ly/3kcPxUV"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2024/05/14/from-just-in-time-to-smart-payments-a-case-for-innovations-in-centrally-sponsored-schemes-in-india/"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bit.ly/3y8tIa7" TargetMode="External"/><Relationship Id="rId682" Type="http://schemas.openxmlformats.org/officeDocument/2006/relationships/hyperlink" Target="https://www.microsave.net/2023/05/22/digital-financial-capability-revealing-teachable-moments-through-phygital-physical-digital-channels/" TargetMode="External"/><Relationship Id="rId903" Type="http://schemas.openxmlformats.org/officeDocument/2006/relationships/hyperlink" Target="https://www.microsave.net/author/jeanne-nganga/"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disha-bhavnani/" TargetMode="External"/><Relationship Id="rId987" Type="http://schemas.openxmlformats.org/officeDocument/2006/relationships/hyperlink" Target="https://www.microsave.net/2025/11/19/repurpose-rejig-reinvent-the-product-shift-needed-to-unlock-adaptation-finance-now/"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author/puneet-khanduja/" TargetMode="External"/><Relationship Id="rId847" Type="http://schemas.openxmlformats.org/officeDocument/2006/relationships/hyperlink" Target="https://www.microsave.net/author/aarjan-dixit/"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www.microsave.net/author/manali-jain/" TargetMode="External"/><Relationship Id="rId693" Type="http://schemas.openxmlformats.org/officeDocument/2006/relationships/hyperlink" Target="https://www.microsave.net/author/judith-mwangoe/" TargetMode="External"/><Relationship Id="rId707" Type="http://schemas.openxmlformats.org/officeDocument/2006/relationships/hyperlink" Target="https://www.microsave.net/author/monica-dutta/" TargetMode="External"/><Relationship Id="rId914" Type="http://schemas.openxmlformats.org/officeDocument/2006/relationships/hyperlink" Target="https://www.microsave.net/author/gayatri-pandey/"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2022/03/31/job-losses-business-closure-covid-hit-female-entrepreneurs-heres-how-to-support-them/" TargetMode="External"/><Relationship Id="rId760" Type="http://schemas.openxmlformats.org/officeDocument/2006/relationships/hyperlink" Target="https://www.microsave.net/2018/10/01/unhcr-cash-based-intervention-in-meheba-refugee-settlement-in-zambia-the-journey-to-digitization/" TargetMode="External"/><Relationship Id="rId998" Type="http://schemas.openxmlformats.org/officeDocument/2006/relationships/hyperlink" Target="https://www.microsave.net/2026/01/30/reaching-the-unreached-strengthening-last-mile-delivery-for-particularly-vulnerable-tribal-groups-pvtg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bit.ly/3qpdcyE" TargetMode="External"/><Relationship Id="rId858" Type="http://schemas.openxmlformats.org/officeDocument/2006/relationships/hyperlink" Target="https://www.microsave.net/2024/09/16/the-need-to-expand-and-diversify-use-cases-of-cash-in-and-cash-out-cico-agents-and-its-potential-a-case-study-of-india/" TargetMode="External"/><Relationship Id="rId497" Type="http://schemas.openxmlformats.org/officeDocument/2006/relationships/hyperlink" Target="https://www.microsave.net/2021/09/01/cool-in-crisis-how-bangladeshi-mfis-stay-resilient/" TargetMode="External"/><Relationship Id="rId620" Type="http://schemas.openxmlformats.org/officeDocument/2006/relationships/hyperlink" Target="https://www.microsave.net/2022/09/29/the-evolution-of-payments-in-india-looking-ahead/" TargetMode="External"/><Relationship Id="rId718" Type="http://schemas.openxmlformats.org/officeDocument/2006/relationships/hyperlink" Target="https://www.microsave.net/2023/09/13/atmanirbhar-naari-for-an-atmanirbhar-india/" TargetMode="External"/><Relationship Id="rId925" Type="http://schemas.openxmlformats.org/officeDocument/2006/relationships/hyperlink" Target="https://www.microsave.net/author/anil-kumar-gupt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author/rocky/" TargetMode="External"/><Relationship Id="rId771" Type="http://schemas.openxmlformats.org/officeDocument/2006/relationships/hyperlink" Target="https://www.microsave.net/author/pauline-katunyo/" TargetMode="External"/><Relationship Id="rId869" Type="http://schemas.openxmlformats.org/officeDocument/2006/relationships/hyperlink" Target="https://www.microsave.net/author/naini/" TargetMode="External"/><Relationship Id="rId424" Type="http://schemas.openxmlformats.org/officeDocument/2006/relationships/hyperlink" Target="https://www.microsave.net/author/abhishek-jain/" TargetMode="External"/><Relationship Id="rId631" Type="http://schemas.openxmlformats.org/officeDocument/2006/relationships/hyperlink" Target="https://bit.ly/3GyMWMw" TargetMode="External"/><Relationship Id="rId729" Type="http://schemas.openxmlformats.org/officeDocument/2006/relationships/hyperlink" Target="https://www.microsave.net/author/pramiti-lonkar/"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5/23/why-indias-expanding-waistline-demands-urgent-attention/"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2022/06/09/greymatter-delivering-impact-to-farmers-at-the-last-mile/" TargetMode="External"/><Relationship Id="rId782" Type="http://schemas.openxmlformats.org/officeDocument/2006/relationships/hyperlink" Target="https://www.microsave.net/2024/01/23/msc-25-years-of-thought-leadership-and-impac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bit.ly/3uRLde0" TargetMode="External"/><Relationship Id="rId642" Type="http://schemas.openxmlformats.org/officeDocument/2006/relationships/hyperlink" Target="https://www.microsave.net/author/rhifa-ayudhia/"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author/rahmatika-febriant/" TargetMode="External"/><Relationship Id="rId947" Type="http://schemas.openxmlformats.org/officeDocument/2006/relationships/hyperlink" Target="https://www.microsave.net/2025/06/27/safer-street-food-in-india-strengthening-nutrition-security-through-multi-stakeholder-ac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author/disha-bhavnani/" TargetMode="External"/><Relationship Id="rId793" Type="http://schemas.openxmlformats.org/officeDocument/2006/relationships/hyperlink" Target="https://www.microsave.net/author/aarjan-dixit/" TargetMode="External"/><Relationship Id="rId807" Type="http://schemas.openxmlformats.org/officeDocument/2006/relationships/hyperlink" Target="https://www.microsave.net/author/graham-a-n-wright/"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www.microsave.net/author/kritika-shukla/" TargetMode="External"/><Relationship Id="rId653" Type="http://schemas.openxmlformats.org/officeDocument/2006/relationships/hyperlink" Target="https://www.microsave.net/2023/01/27/the-impact-of-climate-change-and-coping-strategies-adopted-by-smallholder-farmers-in-bihar/"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2024/09/17/frameworks-to-consider-while-developing-non-cico-cash-in-cash-out-use-cases/" TargetMode="External"/><Relationship Id="rId958" Type="http://schemas.openxmlformats.org/officeDocument/2006/relationships/hyperlink" Target="https://www.microsave.net/author/mann-soni/"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2022/01/03/top-msc-blogs-of-2021/" TargetMode="External"/><Relationship Id="rId597" Type="http://schemas.openxmlformats.org/officeDocument/2006/relationships/hyperlink" Target="https://www.microsave.net/author/mitali-singh/" TargetMode="External"/><Relationship Id="rId720" Type="http://schemas.openxmlformats.org/officeDocument/2006/relationships/hyperlink" Target="https://www.microsave.net/2023/09/27/lessons-from-the-financial-diaries-research-with-women-traders-in-kenyan-open-air-markets-and-cross-border-trades-the-stories-of-janet-and-rebecca/" TargetMode="External"/><Relationship Id="rId818" Type="http://schemas.openxmlformats.org/officeDocument/2006/relationships/hyperlink" Target="https://www.microsave.net/2024/04/15/overcoming-the-roadblocks-in-indias-rural-road-connectivity-program/"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2021/08/09/whrrl-a-blockchain-based-disruptive-financing-model-for-agricultural-practices/" TargetMode="External"/><Relationship Id="rId1003" Type="http://schemas.openxmlformats.org/officeDocument/2006/relationships/hyperlink" Target="https://www.microsave.net/2026/03/31/the-missing-half-of-digital-health-exploring-pathways-for-ai-to-scale-in-lmic-health-systems/" TargetMode="External"/><Relationship Id="rId664" Type="http://schemas.openxmlformats.org/officeDocument/2006/relationships/hyperlink" Target="https://www.microsave.net/author/putu-monica-christy/" TargetMode="External"/><Relationship Id="rId871" Type="http://schemas.openxmlformats.org/officeDocument/2006/relationships/hyperlink" Target="https://www.microsave.net/2024/10/04/the-digital-shift-unlocking-opportunities-for-indias-microentrepreneurs/" TargetMode="External"/><Relationship Id="rId969" Type="http://schemas.openxmlformats.org/officeDocument/2006/relationships/hyperlink" Target="https://www.microsave.net/2025/08/08/msc-supported-bappenas-in-launching-the-blue-economy-report-strengthening-the-role-of-small-scale-fisheries-for-indonesias-food-security/"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author/sunil-bhat/" TargetMode="External"/><Relationship Id="rId731" Type="http://schemas.openxmlformats.org/officeDocument/2006/relationships/hyperlink" Target="https://www.microsave.net/2023/10/25/fishing-for-change-how-a-policy-initiative-in-indias-bihar-state-shows-pathways-to-womens-economic-empowerment-and-climate-change-adaptation/"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author/puneet-khanduja/" TargetMode="External"/><Relationship Id="rId1014" Type="http://schemas.openxmlformats.org/officeDocument/2006/relationships/hyperlink" Target="https://www.microsave.net/2026/05/05/scammed-by-design-why-ordinary-people-fall-for-fraud-and-why-awareness-campaigns-will-not-fix-it/"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www.microsave.net/author/shewta-menon/" TargetMode="External"/><Relationship Id="rId675" Type="http://schemas.openxmlformats.org/officeDocument/2006/relationships/hyperlink" Target="https://www.microsave.net/author/rajnish-kumar/" TargetMode="External"/><Relationship Id="rId882" Type="http://schemas.openxmlformats.org/officeDocument/2006/relationships/hyperlink" Target="https://www.microsave.net/2024/10/25/digital-platforms-catalysts-for-growth-and-sustainability-among-bangladeshs-microentrepreneurs-part-2/"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2022/02/15/a-fine-tuned-approach-to-digital-platform-design-and-development-in-africa-part-ii/" TargetMode="External"/><Relationship Id="rId742" Type="http://schemas.openxmlformats.org/officeDocument/2006/relationships/hyperlink" Target="https://www.microsave.net/author/arshi-aadil/"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7/the-dakiya-has-brought-the-bank-to-our-doorstep-the-transformational-journey-from-a-postal-worker-to-an-ippb-banking-correspondent/"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2021/08/19/easyplan-easing-the-middle-income-segment-into-a-more-robust-savings-behavior/" TargetMode="External"/><Relationship Id="rId686" Type="http://schemas.openxmlformats.org/officeDocument/2006/relationships/hyperlink" Target="https://www.microsave.net/2023/06/08/inclusive-social-protection-mitigating-exclusion-of-vulnerable-populations/" TargetMode="External"/><Relationship Id="rId893" Type="http://schemas.openxmlformats.org/officeDocument/2006/relationships/hyperlink" Target="https://www.microsave.net/author/puneet-khanduja/" TargetMode="External"/><Relationship Id="rId907" Type="http://schemas.openxmlformats.org/officeDocument/2006/relationships/hyperlink" Target="https://www.microsave.net/author/akhand-jyoti-tiwari/"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author/dyana-savina/" TargetMode="External"/><Relationship Id="rId753" Type="http://schemas.openxmlformats.org/officeDocument/2006/relationships/hyperlink" Target="https://www.microsave.net/2013/11/08/more-small-business-loans-and-why-they-matter/"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author/graham-a-n-wright/" TargetMode="External"/><Relationship Id="rId960" Type="http://schemas.openxmlformats.org/officeDocument/2006/relationships/hyperlink" Target="https://www.microsave.net/author/allina-tiwari/"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author/manali-jain/" TargetMode="External"/><Relationship Id="rId697" Type="http://schemas.openxmlformats.org/officeDocument/2006/relationships/hyperlink" Target="https://www.microsave.net/author/maansi-sharda/" TargetMode="External"/><Relationship Id="rId820" Type="http://schemas.openxmlformats.org/officeDocument/2006/relationships/hyperlink" Target="https://www.microsave.net/2024/04/15/smart-payments-the-future-of-government-digital-payments-in-india/" TargetMode="External"/><Relationship Id="rId918" Type="http://schemas.openxmlformats.org/officeDocument/2006/relationships/hyperlink" Target="https://www.microsave.net/author/brenda-oyugi/"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2022/04/28/indias-blanket-approach-to-financial-inclusion-is-leaving-women-behind-here-are-four-ways-to-close-the-gender-gap/" TargetMode="External"/><Relationship Id="rId764" Type="http://schemas.openxmlformats.org/officeDocument/2006/relationships/hyperlink" Target="https://www.microsave.net/2023/12/05/access-to-finance-alone-will-not-save-youths-from-unemployment-what-will-part-2/" TargetMode="External"/><Relationship Id="rId971" Type="http://schemas.openxmlformats.org/officeDocument/2006/relationships/hyperlink" Target="https://www.microsave.net/author/shahrukh-ahmed-latif/"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2021/03/29/use-of-electronic-vouchers-for-distribution-of-relief-part-2/" TargetMode="External"/><Relationship Id="rId624" Type="http://schemas.openxmlformats.org/officeDocument/2006/relationships/hyperlink" Target="https://www.microsave.net/2015/06/26/solving-customer-service-issues-in-digital-finance-can-do-must-do/" TargetMode="External"/><Relationship Id="rId831" Type="http://schemas.openxmlformats.org/officeDocument/2006/relationships/hyperlink" Target="https://www.microsave.net/author/singgih-pangestu/"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www.microsave.net/author/karishma-pradhan/" TargetMode="External"/><Relationship Id="rId929" Type="http://schemas.openxmlformats.org/officeDocument/2006/relationships/hyperlink" Target="https://www.microsave.net/author/shobhit-mishra/"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devraj-hom-roy/" TargetMode="External"/><Relationship Id="rId775" Type="http://schemas.openxmlformats.org/officeDocument/2006/relationships/hyperlink" Target="https://www.microsave.net/author/mahima-dixit/" TargetMode="External"/><Relationship Id="rId982" Type="http://schemas.openxmlformats.org/officeDocument/2006/relationships/hyperlink" Target="https://www.microsave.net/2025/10/31/how-locally-led-adaptation-can-make-the-inherent-resilience-of-msmes-in-ugandas-cattle-corridor-bankable/" TargetMode="External"/><Relationship Id="rId428" Type="http://schemas.openxmlformats.org/officeDocument/2006/relationships/hyperlink" Target="https://www.microsave.net/author/graham-a-n-wright/" TargetMode="External"/><Relationship Id="rId635" Type="http://schemas.openxmlformats.org/officeDocument/2006/relationships/hyperlink" Target="https://bit.ly/3CH4t3Q" TargetMode="External"/><Relationship Id="rId842" Type="http://schemas.openxmlformats.org/officeDocument/2006/relationships/hyperlink" Target="https://www.microsave.net/2024/06/03/living-on-the-edge-the-impact-of-extreme-temperatures-on-delhis-informal-communities/"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bit.ly/3kgq1dJ" TargetMode="External"/><Relationship Id="rId702" Type="http://schemas.openxmlformats.org/officeDocument/2006/relationships/hyperlink" Target="https://www.microsave.net/2023/07/13/rydo-a-ride-with-pride/"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2022/06/13/what-holds-back-microfinance-institutions-from-adopting-the-depa-framework/" TargetMode="External"/><Relationship Id="rId786" Type="http://schemas.openxmlformats.org/officeDocument/2006/relationships/hyperlink" Target="https://www.microsave.net/2024/01/29/25-years-on-what-makes-msc-different/" TargetMode="External"/><Relationship Id="rId993" Type="http://schemas.openxmlformats.org/officeDocument/2006/relationships/hyperlink" Target="https://www.microsave.net/2025/12/19/connecting-innovation-institutions-and-the-missing-middle-insights-from-the-2025-nobel-for-building-labs-and-market-creation/"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bit.ly/3yRYeGV" TargetMode="External"/><Relationship Id="rId646" Type="http://schemas.openxmlformats.org/officeDocument/2006/relationships/hyperlink" Target="https://www.microsave.net/author/rahul-chatterje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author/aakash-mehrotra/" TargetMode="External"/><Relationship Id="rId853" Type="http://schemas.openxmlformats.org/officeDocument/2006/relationships/hyperlink" Target="https://www.microsave.net/author/rahul-chatterjee/" TargetMode="External"/><Relationship Id="rId492" Type="http://schemas.openxmlformats.org/officeDocument/2006/relationships/hyperlink" Target="https://www.microsave.net/author/diya-chatterjee/" TargetMode="External"/><Relationship Id="rId713" Type="http://schemas.openxmlformats.org/officeDocument/2006/relationships/hyperlink" Target="https://www.microsave.net/author/rahul-chatterjee/" TargetMode="External"/><Relationship Id="rId797" Type="http://schemas.openxmlformats.org/officeDocument/2006/relationships/hyperlink" Target="https://www.microsave.net/author/msc/" TargetMode="External"/><Relationship Id="rId920" Type="http://schemas.openxmlformats.org/officeDocument/2006/relationships/hyperlink" Target="https://www.microsave.net/2025/04/01/why-cash-payments-are-transforming-humanitarian-aid-part-1/"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2023/01/27/the-impact-of-climate-change-on-farmers-in-bihar-and-how-farmer-producer-organizations-can-help-them-adapt/" TargetMode="External"/><Relationship Id="rId864" Type="http://schemas.openxmlformats.org/officeDocument/2006/relationships/hyperlink" Target="https://www.microsave.net/2024/09/24/the-silent-shortfall-why-womens-savings-dont-translate-into-equal-credit/"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2022/01/21/train-me-like-this-lessons-from-the-pilot-on-iibf-bc-bf-certification/" TargetMode="External"/><Relationship Id="rId724" Type="http://schemas.openxmlformats.org/officeDocument/2006/relationships/hyperlink" Target="https://www.microsave.net/2023/10/03/digital-payments-in-india-democratizing-financial-services-for-the-masses/" TargetMode="External"/><Relationship Id="rId931" Type="http://schemas.openxmlformats.org/officeDocument/2006/relationships/hyperlink" Target="https://www.microsave.net/author/graham-a-n-wright/"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author/rutuja-jadhav/" TargetMode="External"/><Relationship Id="rId1007" Type="http://schemas.openxmlformats.org/officeDocument/2006/relationships/hyperlink" Target="https://www.microsave.net/2021/03/25/use-of-electronic-vouchers-to-distribute-relief/"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author/anup-singh/" TargetMode="External"/><Relationship Id="rId668" Type="http://schemas.openxmlformats.org/officeDocument/2006/relationships/hyperlink" Target="https://www.microsave.net/2023/03/23/delivering-tailored-digital-business-training-in-rural-indonesia-through-women-digital-ambassador-what-we-learned-so-far/" TargetMode="External"/><Relationship Id="rId875" Type="http://schemas.openxmlformats.org/officeDocument/2006/relationships/hyperlink" Target="https://www.microsave.net/author/martin-aketch/"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samveet-sahoo/" TargetMode="External"/><Relationship Id="rId735" Type="http://schemas.openxmlformats.org/officeDocument/2006/relationships/hyperlink" Target="https://www.microsave.net/2023/11/21/decoding-agriculture-market-linkages-for-fpos-lessons-from-the-field/" TargetMode="External"/><Relationship Id="rId942" Type="http://schemas.openxmlformats.org/officeDocument/2006/relationships/hyperlink" Target="https://www.microsave.net/author/aarjan-dixit/"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2022/06/13/how-can-fintech-tsps-support-microfinance-institutions-to-get-on-board-the-depa-ecosystem/" TargetMode="External"/><Relationship Id="rId1018" Type="http://schemas.openxmlformats.org/officeDocument/2006/relationships/hyperlink" Target="https://www.microsave.net/2026/05/14/building-the-rails-for-b2b-digitization-in-bangladeshs-retail-supply-chains/"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author/gregory-ilukwe/" TargetMode="External"/><Relationship Id="rId802" Type="http://schemas.openxmlformats.org/officeDocument/2006/relationships/hyperlink" Target="https://www.microsave.net/2024/02/28/engendering-digital-connectivity-the-role-of-women-in-designing-gender-inclusive-use-cases-part-2/" TargetMode="External"/><Relationship Id="rId886" Type="http://schemas.openxmlformats.org/officeDocument/2006/relationships/hyperlink" Target="https://www.microsave.net/2024/11/11/gender-intelligent-banking-part-2-small-changes-big-wins-how-small-changes-by-fsps-can-result-in-big-wins/"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bit.ly/2RQqSaR" TargetMode="External"/><Relationship Id="rId539" Type="http://schemas.openxmlformats.org/officeDocument/2006/relationships/hyperlink" Target="https://www.microsave.net/author/graham-a-n-wright/" TargetMode="External"/><Relationship Id="rId746" Type="http://schemas.openxmlformats.org/officeDocument/2006/relationships/hyperlink" Target="https://www.microsave.net/2023/11/29/empowering-youth-through-entrepreneurship-and-financial-inclusion/"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7/09/cross-border-payments-in-africa-what-is-changing-and-why-it-matters/"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2022/09/06/how-can-financial-institutions-provide-handholding-support-for-the-elderly/" TargetMode="External"/><Relationship Id="rId606" Type="http://schemas.openxmlformats.org/officeDocument/2006/relationships/hyperlink" Target="https://www.microsave.net/2022/09/20/the-last-mile-reaches-postal-banks-across-the-globe-that-serve-the-rural-and-the-remote/" TargetMode="External"/><Relationship Id="rId813" Type="http://schemas.openxmlformats.org/officeDocument/2006/relationships/hyperlink" Target="https://www.microsave.net/author/disha-bhavnani/"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www.microsave.net/author/manali-jain/" TargetMode="External"/><Relationship Id="rId897" Type="http://schemas.openxmlformats.org/officeDocument/2006/relationships/hyperlink" Target="https://www.microsave.net/author/navin-bhushan/"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5/12/22/role-of-bank-mitrs-in-direct-benefit-transfer-ecosystem-are-banks-and-government-ignoring-their-brand-ambassadors/" TargetMode="External"/><Relationship Id="rId964" Type="http://schemas.openxmlformats.org/officeDocument/2006/relationships/hyperlink" Target="https://www.microsave.net/author/putu-monica-christy/"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www.microsave.net/author/puneet-khanduja/" TargetMode="External"/><Relationship Id="rId617" Type="http://schemas.openxmlformats.org/officeDocument/2006/relationships/hyperlink" Target="https://www.microsave.net/author/jayan-nair/" TargetMode="External"/><Relationship Id="rId824" Type="http://schemas.openxmlformats.org/officeDocument/2006/relationships/hyperlink" Target="https://www.microsave.net/2024/04/23/unlocking-access-to-formal-credit-for-farmer-producer-companies-fpcs-lessons-from-jeevikas-work-in-bihar/"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bit.ly/3l6k0k6" TargetMode="External"/><Relationship Id="rId670" Type="http://schemas.openxmlformats.org/officeDocument/2006/relationships/hyperlink" Target="https://www.microsave.net/2023/03/30/women-digital-ambassador-linking-agents-to-cooperatives-for-parity-in-financial-inclusion/"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author/manoj-kumar-sharma/" TargetMode="External"/><Relationship Id="rId768" Type="http://schemas.openxmlformats.org/officeDocument/2006/relationships/hyperlink" Target="https://www.microsave.net/author/jenifer-rose-shapiro/" TargetMode="External"/><Relationship Id="rId975" Type="http://schemas.openxmlformats.org/officeDocument/2006/relationships/hyperlink" Target="https://www.microsave.net/2025/09/24/from-prayers-to-power-scaling-climate-smart-agriculture-through-inclusive-finance/"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www.microsave.net/author/kim-kariuki/" TargetMode="External"/><Relationship Id="rId835" Type="http://schemas.openxmlformats.org/officeDocument/2006/relationships/hyperlink" Target="https://www.microsave.net/author/singgih-pangestu/"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author/vishes-kumar-jena/" TargetMode="External"/><Relationship Id="rId1020" Type="http://schemas.openxmlformats.org/officeDocument/2006/relationships/printerSettings" Target="../printerSettings/printerSettings3.bin"/><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author/surbhi-sood/" TargetMode="External"/><Relationship Id="rId779" Type="http://schemas.openxmlformats.org/officeDocument/2006/relationships/hyperlink" Target="https://www.microsave.net/author/arshi-aadil/" TargetMode="External"/><Relationship Id="rId902" Type="http://schemas.openxmlformats.org/officeDocument/2006/relationships/hyperlink" Target="https://www.microsave.net/2025/02/25/enhancing-the-financial-health-of-women-owned-microenterprises-wmes-in-south-africa/" TargetMode="External"/><Relationship Id="rId986" Type="http://schemas.openxmlformats.org/officeDocument/2006/relationships/hyperlink" Target="https://www.microsave.net/2025/11/18/how-bangladesh-can-shift-from-reaction-to-resilience-in-climate-finance-for-vulnerable-communities/"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2022/03/01/would-a-business-correspondent-network-managers-bcnms-strategy-to-customize-incentive-structure-change-the-agent-business/" TargetMode="External"/><Relationship Id="rId639" Type="http://schemas.openxmlformats.org/officeDocument/2006/relationships/hyperlink" Target="https://www.microsave.net/2023/01/13/women-in-the-digital-economy/"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2021/02/10/reimagining-the-indian-governments-telemedicine-platform/" TargetMode="External"/><Relationship Id="rId846" Type="http://schemas.openxmlformats.org/officeDocument/2006/relationships/hyperlink" Target="https://www.microsave.net/2024/06/05/five-things-to-know-about-the-impact-of-extreme-heat-on-msmes-and-their-workers-in-india/" TargetMode="External"/><Relationship Id="rId485" Type="http://schemas.openxmlformats.org/officeDocument/2006/relationships/hyperlink" Target="https://bit.ly/3mqKXBa" TargetMode="External"/><Relationship Id="rId692" Type="http://schemas.openxmlformats.org/officeDocument/2006/relationships/hyperlink" Target="https://www.microsave.net/2023/07/03/the-potential-of-ai-chatbots-in-driving-financial-inclusion-assessing-chatgpt/" TargetMode="External"/><Relationship Id="rId706" Type="http://schemas.openxmlformats.org/officeDocument/2006/relationships/hyperlink" Target="https://www.microsave.net/2023/07/20/smallholder-farmers-worldwide-are-on-a-perilous-journey-amid-climate-change-where-are-they-headed/" TargetMode="External"/><Relationship Id="rId913" Type="http://schemas.openxmlformats.org/officeDocument/2006/relationships/hyperlink" Target="https://www.microsave.net/author/brenda-oyugi/"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author/putu-monica-christy/" TargetMode="External"/><Relationship Id="rId997" Type="http://schemas.openxmlformats.org/officeDocument/2006/relationships/hyperlink" Target="https://www.microsave.net/2026/01/29/gender-intelligent-banking-is-the-key-to-unlock-kenyas-untapped-market/"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author/rahul-chatterjee/" TargetMode="External"/><Relationship Id="rId857" Type="http://schemas.openxmlformats.org/officeDocument/2006/relationships/hyperlink" Target="https://www.microsave.net/author/rhifa-ayudhia/"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www.microsave.net/author/sunil-bhat/" TargetMode="External"/><Relationship Id="rId717" Type="http://schemas.openxmlformats.org/officeDocument/2006/relationships/hyperlink" Target="https://www.microsave.net/author/damini-mohan/" TargetMode="External"/><Relationship Id="rId924" Type="http://schemas.openxmlformats.org/officeDocument/2006/relationships/hyperlink" Target="https://www.microsave.net/2025/04/16/wings-to-aspirations/"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2022/05/24/price-wars-and-agent-motivation-in-rural-areas-of-cote-divoire/" TargetMode="External"/><Relationship Id="rId770" Type="http://schemas.openxmlformats.org/officeDocument/2006/relationships/hyperlink" Target="https://www.microsave.net/2023/12/15/challenges-and-opportunities-for-kenyan-women-from-the-gig-economy-in-the-digital-age/"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2021/04/15/mgnrega-the-delay-in-wage-payments-part-i/" TargetMode="External"/><Relationship Id="rId868" Type="http://schemas.openxmlformats.org/officeDocument/2006/relationships/hyperlink" Target="https://www.microsave.net/2024/10/04/empowering-indias-microentrepreneurs-how-digital-platforms-are-revolutionizing-microenterprises/" TargetMode="External"/><Relationship Id="rId630" Type="http://schemas.openxmlformats.org/officeDocument/2006/relationships/hyperlink" Target="https://www.microsave.net/author/monica-dutta/" TargetMode="External"/><Relationship Id="rId728" Type="http://schemas.openxmlformats.org/officeDocument/2006/relationships/hyperlink" Target="https://www.microsave.net/2023/10/10/upi-123pay-the-four-leaf-clover-for-feature-phone-based-payments-in-india/" TargetMode="External"/><Relationship Id="rId935" Type="http://schemas.openxmlformats.org/officeDocument/2006/relationships/hyperlink" Target="https://www.microsave.net/author/mitul-thapliyal/"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author/rutuja-jadhav/"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4/01/19/enabling-and-financing-locally-led-adaptation-the-role-of-blended-finance-and-digital-technologies/" TargetMode="External"/><Relationship Id="rId879" Type="http://schemas.openxmlformats.org/officeDocument/2006/relationships/hyperlink" Target="https://www.microsave.net/author/putu-monica-christy/" TargetMode="External"/><Relationship Id="rId434" Type="http://schemas.openxmlformats.org/officeDocument/2006/relationships/hyperlink" Target="https://www.microsave.net/author/aparna-shukla/" TargetMode="External"/><Relationship Id="rId641" Type="http://schemas.openxmlformats.org/officeDocument/2006/relationships/hyperlink" Target="https://www.microsave.net/2023/01/13/designing-adaptive-worker-protections-for-the-digital-economy/" TargetMode="External"/><Relationship Id="rId739" Type="http://schemas.openxmlformats.org/officeDocument/2006/relationships/hyperlink" Target="https://www.microsave.net/2023/11/24/women-digital-ambassadors-empowering-womens-cooperative-networks-with-gender-transformative-agent-banking-services/"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2021/09/03/wi-fi-voucher-a-top-selling-product-for-rural-corner-shops-in-indonesia/" TargetMode="External"/><Relationship Id="rId946" Type="http://schemas.openxmlformats.org/officeDocument/2006/relationships/hyperlink" Target="https://www.microsave.net/author/vivek-anand/"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2022/06/15/lessons-from-frontier-markets-surpassing-gender-norms-to-build-a-tech-driven-and-self-starter-marketplace-model-to-onboard-the-next-half-million-rural-women/" TargetMode="External"/><Relationship Id="rId792" Type="http://schemas.openxmlformats.org/officeDocument/2006/relationships/hyperlink" Target="https://www.microsave.net/2024/02/06/locally-led-adaptation-to-climate-change-can-digital-technologies-help/" TargetMode="External"/><Relationship Id="rId806" Type="http://schemas.openxmlformats.org/officeDocument/2006/relationships/hyperlink" Target="https://www.microsave.net/author/debarshi-chakraborty/"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bit.ly/34Biu1u" TargetMode="External"/><Relationship Id="rId652" Type="http://schemas.openxmlformats.org/officeDocument/2006/relationships/hyperlink" Target="https://www.microsave.net/author/graham-a-n-wright/"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author/gloria-sinaga/" TargetMode="External"/><Relationship Id="rId957" Type="http://schemas.openxmlformats.org/officeDocument/2006/relationships/hyperlink" Target="https://www.microsave.net/2025/07/10/fast-tracking-female-founders-have-we-found-the-winning-formula/"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2022/09/08/how-has-ippb-improved-financial-inclusion-in-india-through-a-differentiated-banking-approach/" TargetMode="External"/><Relationship Id="rId817" Type="http://schemas.openxmlformats.org/officeDocument/2006/relationships/hyperlink" Target="https://www.microsave.net/author/diganta-nayak/" TargetMode="External"/><Relationship Id="rId1002" Type="http://schemas.openxmlformats.org/officeDocument/2006/relationships/hyperlink" Target="https://www.microsave.net/2026/03/13/integrating-climate-into-indias-digital-agriculture-solutions-the-case-for-a-climate-resilient-agricultural-system-cras/"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www.microsave.net/author/graham-a-n-wright/" TargetMode="External"/><Relationship Id="rId663" Type="http://schemas.openxmlformats.org/officeDocument/2006/relationships/hyperlink" Target="https://www.microsave.net/2023/02/13/closing-the-digital-gender-divide-whats-next-for-indonesias-digital-economy/" TargetMode="External"/><Relationship Id="rId870" Type="http://schemas.openxmlformats.org/officeDocument/2006/relationships/hyperlink" Target="https://www.microsave.net/author/naini/"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2022/01/27/different-yet-similar-the-behavioral-biases-of-low-and-moderate-income-segments-in-bangladesh-and-vietnam/" TargetMode="External"/><Relationship Id="rId968" Type="http://schemas.openxmlformats.org/officeDocument/2006/relationships/hyperlink" Target="https://www.microsave.net/author/rosalinda-rudangta/"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the-center-for-global-development/" TargetMode="External"/><Relationship Id="rId828" Type="http://schemas.openxmlformats.org/officeDocument/2006/relationships/hyperlink" Target="https://www.microsave.net/2024/04/29/climate-change-a-test-for-resilience-of-mental-health-systems/" TargetMode="External"/><Relationship Id="rId1013" Type="http://schemas.openxmlformats.org/officeDocument/2006/relationships/hyperlink" Target="https://www.microsave.net/2026/04/28/powering-financial-inclusion-through-data-intelligence-at-local-levels/"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bit.ly/3sDuScu" TargetMode="External"/><Relationship Id="rId674" Type="http://schemas.openxmlformats.org/officeDocument/2006/relationships/hyperlink" Target="https://www.microsave.net/2023/04/13/overcoming-challenges-in-farmer-producer-company-fpc-scaling-and-sustainability-lessons-from-jeevika-in-bihar/" TargetMode="External"/><Relationship Id="rId881" Type="http://schemas.openxmlformats.org/officeDocument/2006/relationships/hyperlink" Target="https://www.microsave.net/author/md-farista-andalib/" TargetMode="External"/><Relationship Id="rId979" Type="http://schemas.openxmlformats.org/officeDocument/2006/relationships/hyperlink" Target="https://www.microsave.net/2025/11/07/from-data-to-suptech-a-phased-approach-for-smarter-regulatory-transformation/"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author/jenifer-rose-shapiro/" TargetMode="External"/><Relationship Id="rId741" Type="http://schemas.openxmlformats.org/officeDocument/2006/relationships/hyperlink" Target="https://www.microsave.net/2023/11/24/the-hidden-cost-of-financial-services-in-india/" TargetMode="External"/><Relationship Id="rId839" Type="http://schemas.openxmlformats.org/officeDocument/2006/relationships/hyperlink" Target="https://www.microsave.net/author/mitali-singh/"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aakash-mehrotra/"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www.microsave.net/author/aakash-mehrotra/" TargetMode="External"/><Relationship Id="rId685" Type="http://schemas.openxmlformats.org/officeDocument/2006/relationships/hyperlink" Target="https://www.microsave.net/author/abhishek-jain/" TargetMode="External"/><Relationship Id="rId892" Type="http://schemas.openxmlformats.org/officeDocument/2006/relationships/hyperlink" Target="https://www.microsave.net/2024/11/14/from-ration-shops-to-nutrition-hubs-a-nutritional-revolution-in-the-making/" TargetMode="External"/><Relationship Id="rId906" Type="http://schemas.openxmlformats.org/officeDocument/2006/relationships/hyperlink" Target="https://www.microsave.net/2025/03/03/the-gig-economys-big-moment-what-comes-next/"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2022/03/09/a-tale-of-the-other-workers-an-observation-on-home-based-women-workers-in-indonesia/" TargetMode="External"/><Relationship Id="rId752" Type="http://schemas.openxmlformats.org/officeDocument/2006/relationships/hyperlink" Target="https://www.microsave.net/2013/06/29/why-is-the-chicken-afraid-to-cross-the-road/"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2021/02/17/the-corner-shop-diaries-project-how-small-businesses-in-developing-countries-coped-with-the-pandemic-helped-the-neighborhood-to/" TargetMode="External"/><Relationship Id="rId612" Type="http://schemas.openxmlformats.org/officeDocument/2006/relationships/hyperlink" Target="https://www.microsave.net/2022/09/27/how-do-we-envision-digital-payments-beyond-2022/"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2021/08/25/fello-follow-this-team-to-know-about-a-game-based-approach-to-savings-and-investments-for-the-lmi-segment/" TargetMode="External"/><Relationship Id="rId696" Type="http://schemas.openxmlformats.org/officeDocument/2006/relationships/hyperlink" Target="https://www.microsave.net/2023/07/11/finequs-democratizing-the-lead-generation-of-financial-products-to-increase-access/" TargetMode="External"/><Relationship Id="rId917" Type="http://schemas.openxmlformats.org/officeDocument/2006/relationships/hyperlink" Target="https://www.microsave.net/author/brenda-oyugi/"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author/ritika-sah/" TargetMode="External"/><Relationship Id="rId763" Type="http://schemas.openxmlformats.org/officeDocument/2006/relationships/hyperlink" Target="https://www.microsave.net/2014/06/12/government-subsidy-in-microinsurance-a-necessary-trend/"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www.microsave.net/author/kushagra-harshavardhan/" TargetMode="External"/><Relationship Id="rId970" Type="http://schemas.openxmlformats.org/officeDocument/2006/relationships/hyperlink" Target="https://www.microsave.net/2025/08/27/unlocking-financial-resilience-how-mfis-can-solve-the-climate-disaster-in-bangladeshs-farm-economy/" TargetMode="External"/><Relationship Id="rId623" Type="http://schemas.openxmlformats.org/officeDocument/2006/relationships/hyperlink" Target="https://www.microsave.net/author/amani-mbale/" TargetMode="External"/><Relationship Id="rId830" Type="http://schemas.openxmlformats.org/officeDocument/2006/relationships/hyperlink" Target="https://www.microsave.net/2024/05/01/thriving-amid-changes-agents-in-indonesias-evolving-digital-financial-services-landscape/" TargetMode="External"/><Relationship Id="rId928" Type="http://schemas.openxmlformats.org/officeDocument/2006/relationships/hyperlink" Target="https://www.microsave.net/2025/04/23/fueling-change-the-multiple-impacts-of-increasing-liquefied-petroleum-gas-usage-in-rural-india/"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2022/06/01/what-does-healthtech-have-to-do-with-financial-health-let-us-qonect-the-dots/"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2023/12/21/careful-not-customary-how-can-consent-terms-be-better-designed-to-protect-users/" TargetMode="External"/><Relationship Id="rId981" Type="http://schemas.openxmlformats.org/officeDocument/2006/relationships/hyperlink" Target="https://www.microsave.net/2025/11/06/suptech-starts-with-data-building-strong-and-flexible-data-foundations/" TargetMode="External"/><Relationship Id="rId427" Type="http://schemas.openxmlformats.org/officeDocument/2006/relationships/hyperlink" Target="https://www.microsave.net/2021/04/19/many-msmes-are-dying-can-we-realize-the-full-potential-of-the-digital-revolution-to-save-them/" TargetMode="External"/><Relationship Id="rId634" Type="http://schemas.openxmlformats.org/officeDocument/2006/relationships/hyperlink" Target="https://www.microsave.net/author/rahul-chatterjee/" TargetMode="External"/><Relationship Id="rId841" Type="http://schemas.openxmlformats.org/officeDocument/2006/relationships/hyperlink" Target="https://www.microsave.net/author/kamal-chhabra/"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www.microsave.net/author/disha-bhavnani/" TargetMode="External"/><Relationship Id="rId701" Type="http://schemas.openxmlformats.org/officeDocument/2006/relationships/hyperlink" Target="https://www.microsave.net/author/manali-jain/" TargetMode="External"/><Relationship Id="rId939" Type="http://schemas.openxmlformats.org/officeDocument/2006/relationships/hyperlink" Target="https://www.microsave.net/2025/05/27/the-road-to-equality-the-role-of-gender-intelligent-banking-in-addressing-credit-access-challenges-for-women-entrepreneurs-in-bangladesh/"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author/diya-chatterjee/" TargetMode="External"/><Relationship Id="rId785" Type="http://schemas.openxmlformats.org/officeDocument/2006/relationships/hyperlink" Target="https://www.microsave.net/author/graham-a-n-wright/" TargetMode="External"/><Relationship Id="rId992" Type="http://schemas.openxmlformats.org/officeDocument/2006/relationships/hyperlink" Target="https://www.microsave.net/2025/12/12/performance-over-assets-in-bangladeshs-credit-reform/"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www.microsave.net/author/diganta-nayak/" TargetMode="External"/><Relationship Id="rId645" Type="http://schemas.openxmlformats.org/officeDocument/2006/relationships/hyperlink" Target="https://www.microsave.net/2023/01/16/women-business-diaries-unpacking-a-360-degree-view-of-women-run-businesses-in-bangladesh/" TargetMode="External"/><Relationship Id="rId852" Type="http://schemas.openxmlformats.org/officeDocument/2006/relationships/hyperlink" Target="https://www.microsave.net/2024/07/30/bridging-the-digital-divide-by-enhancing-effective-digital-finance-usage-among-the-poor-part-1/"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2021/08/26/lakshya-helping-the-urban-poor-save-to-improve-their-financial-health/" TargetMode="External"/><Relationship Id="rId505" Type="http://schemas.openxmlformats.org/officeDocument/2006/relationships/hyperlink" Target="https://www.microsave.net/author/tomojit-basu/" TargetMode="External"/><Relationship Id="rId712" Type="http://schemas.openxmlformats.org/officeDocument/2006/relationships/hyperlink" Target="https://www.microsave.net/2023/08/18/daily-diaries-reimagining-how-we-generate-insights-to-optimize-cash-in-cash-out-cico-agents/"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sneha-sampath/" TargetMode="External"/><Relationship Id="rId796" Type="http://schemas.openxmlformats.org/officeDocument/2006/relationships/hyperlink" Target="https://www.microsave.net/2024/02/07/in-a-first-fair-price-shops-on-boards-on-open-network-digital-commerce-ondc/"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bit.ly/36jfRSQ" TargetMode="External"/><Relationship Id="rId656" Type="http://schemas.openxmlformats.org/officeDocument/2006/relationships/hyperlink" Target="https://www.microsave.net/author/graham-a-n-wright/" TargetMode="External"/><Relationship Id="rId863" Type="http://schemas.openxmlformats.org/officeDocument/2006/relationships/hyperlink" Target="https://www.microsave.net/author/nikhita-jindal/"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author/raunak-kapoor/" TargetMode="External"/><Relationship Id="rId723" Type="http://schemas.openxmlformats.org/officeDocument/2006/relationships/hyperlink" Target="https://www.microsave.net/author/manali-jain/" TargetMode="External"/><Relationship Id="rId930" Type="http://schemas.openxmlformats.org/officeDocument/2006/relationships/hyperlink" Target="https://www.microsave.net/2025/04/23/challenging-the-orthodoxy-can-we-rethink-finance-for-locally-led-adaptation/" TargetMode="External"/><Relationship Id="rId1006" Type="http://schemas.openxmlformats.org/officeDocument/2006/relationships/hyperlink" Target="https://www.microsave.net/2021/01/28/can-the-oft-criticized-p2p-fintech-platforms-in-indonesia-solve-the-lack-of-diversity-in-msme-loan-programs/"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2014/11/25/how-many-accounts-does-a-man-have-to-open-to-be-financial-included/" TargetMode="External"/><Relationship Id="rId874" Type="http://schemas.openxmlformats.org/officeDocument/2006/relationships/hyperlink" Target="https://www.microsave.net/2024/10/14/can-we-design-affordable-housing-products-for-kenyas-low-and-moderate-income-people/"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2022/02/02/weaving-a-financial-security-net-for-bangladeshs-garment-workers/" TargetMode="External"/><Relationship Id="rId734" Type="http://schemas.openxmlformats.org/officeDocument/2006/relationships/hyperlink" Target="https://www.microsave.net/author/pranav-singh/" TargetMode="External"/><Relationship Id="rId941" Type="http://schemas.openxmlformats.org/officeDocument/2006/relationships/hyperlink" Target="https://www.microsave.net/2025/06/24/the-path-to-resilience-mscs-ecosystem-approach-to-adaptive-social-protection-asp/"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author/sunil-bhat/" TargetMode="External"/><Relationship Id="rId801" Type="http://schemas.openxmlformats.org/officeDocument/2006/relationships/hyperlink" Target="https://www.microsave.net/author/ritika-singh/" TargetMode="External"/><Relationship Id="rId1017" Type="http://schemas.openxmlformats.org/officeDocument/2006/relationships/hyperlink" Target="https://www.microsave.net/2026/05/14/why-bangladeshs-supply-chains-still-run-on-cash-despite-digitization/"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author/diganta-nayak/" TargetMode="External"/><Relationship Id="rId678" Type="http://schemas.openxmlformats.org/officeDocument/2006/relationships/hyperlink" Target="https://www.microsave.net/2023/05/19/how-can-digital-public-infrastructure-improve-government-to-person-payments/" TargetMode="External"/><Relationship Id="rId885" Type="http://schemas.openxmlformats.org/officeDocument/2006/relationships/hyperlink" Target="https://www.microsave.net/author/ayushi-misra/"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author/manoj-kumar-nayak/" TargetMode="External"/><Relationship Id="rId745" Type="http://schemas.openxmlformats.org/officeDocument/2006/relationships/hyperlink" Target="https://www.microsave.net/2023/11/29/access-to-bank-accounts-high-but-usage-pattern-differs-survey/" TargetMode="External"/><Relationship Id="rId952" Type="http://schemas.openxmlformats.org/officeDocument/2006/relationships/hyperlink" Target="https://www.microsave.net/author/rahmatika-febriant/"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www.microsave.net/author/mandira-sharma/" TargetMode="External"/><Relationship Id="rId605" Type="http://schemas.openxmlformats.org/officeDocument/2006/relationships/hyperlink" Target="https://www.microsave.net/author/disha-bhavnani/" TargetMode="External"/><Relationship Id="rId812" Type="http://schemas.openxmlformats.org/officeDocument/2006/relationships/hyperlink" Target="https://www.microsave.net/2024/03/12/strengthening-market-linkage-through-digital-innovation-and-community-support-sewa-saamarths-entry-into-e-commerce/"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author/aanchal-aggarwal/" TargetMode="External"/><Relationship Id="rId896" Type="http://schemas.openxmlformats.org/officeDocument/2006/relationships/hyperlink" Target="https://www.microsave.net/2025/02/05/transforming-bihar-through-aquaculture/"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2021/06/24/the-disruptors-get-disrupted-indian-fintechs-during-covid-19/" TargetMode="External"/><Relationship Id="rId549" Type="http://schemas.openxmlformats.org/officeDocument/2006/relationships/hyperlink" Target="https://www.microsave.net/2022/03/11/women-and-dfs/" TargetMode="External"/><Relationship Id="rId756" Type="http://schemas.openxmlformats.org/officeDocument/2006/relationships/hyperlink" Target="https://www.microsave.net/2015/09/04/cooperation-or-competition/"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2O1GCoZ" TargetMode="External"/><Relationship Id="rId409" Type="http://schemas.openxmlformats.org/officeDocument/2006/relationships/hyperlink" Target="https://www.microsave.net/2021/02/23/getting-behind-the-corona-statistics-how-a-small-shopkeeper-took-on-the-pandemic/" TargetMode="External"/><Relationship Id="rId963" Type="http://schemas.openxmlformats.org/officeDocument/2006/relationships/hyperlink" Target="https://www.microsave.net/2025/07/18/how-can-inclusion-work-if-it-leaves-out-people/"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2022/09/28/grievance-redress-mechanisms-in-welfare-programs-a-milestone-yet-to-be-achieved/" TargetMode="External"/><Relationship Id="rId823" Type="http://schemas.openxmlformats.org/officeDocument/2006/relationships/hyperlink" Target="https://www.microsave.net/author/puneet-khanduja/"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author/alan-gelb/"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author/emma-odera/" TargetMode="External"/><Relationship Id="rId974" Type="http://schemas.openxmlformats.org/officeDocument/2006/relationships/hyperlink" Target="https://www.microsave.net/2025/09/22/a-usd-1-5-trillion-opportunity-inclusive-finance-for-climate-adaptation/"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bit.ly/3GuDPwa" TargetMode="External"/><Relationship Id="rId834" Type="http://schemas.openxmlformats.org/officeDocument/2006/relationships/hyperlink" Target="https://www.microsave.net/2024/05/14/thriving-amid-change-agents-in-indonesias-evolving-digital-financial-services-landscape-part-2/"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bit.ly/3zcFzoP" TargetMode="External"/><Relationship Id="rId680" Type="http://schemas.openxmlformats.org/officeDocument/2006/relationships/hyperlink" Target="https://www.microsave.net/2023/05/22/digital-financial-capability-using-emotions-to-design-content/" TargetMode="External"/><Relationship Id="rId901" Type="http://schemas.openxmlformats.org/officeDocument/2006/relationships/hyperlink" Target="https://www.microsave.net/author/ayushi-misra/"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7/are-we-over-selling-start-ups-as-a-career-option/" TargetMode="External"/><Relationship Id="rId778" Type="http://schemas.openxmlformats.org/officeDocument/2006/relationships/hyperlink" Target="https://www.microsave.net/2024/01/02/five-keys-to-building-trust-to-strengthen-customer-protection-in-financial-services/" TargetMode="External"/><Relationship Id="rId985" Type="http://schemas.openxmlformats.org/officeDocument/2006/relationships/hyperlink" Target="https://www.microsave.net/2025/11/17/from-reactive-coping-to-adaptive-resilience-amid-climate-change/" TargetMode="External"/><Relationship Id="rId638" Type="http://schemas.openxmlformats.org/officeDocument/2006/relationships/hyperlink" Target="https://www.microsave.net/author/msc/" TargetMode="External"/><Relationship Id="rId845" Type="http://schemas.openxmlformats.org/officeDocument/2006/relationships/hyperlink" Target="https://www.microsave.net/author/boijayanti-sarker/"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www.microsave.net/author/mitul-thapliyal/" TargetMode="External"/><Relationship Id="rId484" Type="http://schemas.openxmlformats.org/officeDocument/2006/relationships/hyperlink" Target="https://www.microsave.net/author/vishes-kumar-jena/" TargetMode="External"/><Relationship Id="rId705" Type="http://schemas.openxmlformats.org/officeDocument/2006/relationships/hyperlink" Target="https://www.microsave.net/author/krunal-thakka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author/arshi-aadil/" TargetMode="External"/><Relationship Id="rId789" Type="http://schemas.openxmlformats.org/officeDocument/2006/relationships/hyperlink" Target="https://www.microsave.net/author/graham-a-n-wright/" TargetMode="External"/><Relationship Id="rId912" Type="http://schemas.openxmlformats.org/officeDocument/2006/relationships/hyperlink" Target="https://www.microsave.net/2025/03/18/investing-with-heart-and-wisdom-strategic-amplification-of-female-agency-frontlines/" TargetMode="External"/><Relationship Id="rId996" Type="http://schemas.openxmlformats.org/officeDocument/2006/relationships/hyperlink" Target="https://www.microsave.net/2026/01/15/will-ai-take-over-public-policy-in-india/" TargetMode="External"/><Relationship Id="rId41" Type="http://schemas.openxmlformats.org/officeDocument/2006/relationships/hyperlink" Target="https://www.microsave.net/2014/02/08/the-mor-committee-report-the-demand-side-conundrum/" TargetMode="External"/><Relationship Id="rId551" Type="http://schemas.openxmlformats.org/officeDocument/2006/relationships/hyperlink" Target="https://www.microsave.net/2022/03/21/women-digital-ambassadors-drivers-of-financial-inclusion-in-rural-areas-of-indonesia/" TargetMode="External"/><Relationship Id="rId649" Type="http://schemas.openxmlformats.org/officeDocument/2006/relationships/hyperlink" Target="https://www.microsave.net/2023/01/27/enhancing-resilience-of-smallholder-farmers-against-climate-change-can-parametric-agricultural-insurance-make-a-difference/" TargetMode="External"/><Relationship Id="rId856" Type="http://schemas.openxmlformats.org/officeDocument/2006/relationships/hyperlink" Target="https://www.microsave.net/2024/09/05/the-hidden-cost-of-care-how-female-informal-workers-reduce-the-societal-burden-of-care-work/"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2021/02/26/volatility-and-resilience-lessons-from-the-corner-shop-diaries-research-in-nigeria/" TargetMode="External"/><Relationship Id="rId509" Type="http://schemas.openxmlformats.org/officeDocument/2006/relationships/hyperlink" Target="https://www.microsave.net/2021/12/07/the-journey-of-mobile-financial-services-at-buro-bangladesh-a-lesson-for-the-microfinance-sector-in-bangladesh/" TargetMode="External"/><Relationship Id="rId495" Type="http://schemas.openxmlformats.org/officeDocument/2006/relationships/hyperlink" Target="https://bit.ly/3G3bigk" TargetMode="External"/><Relationship Id="rId716" Type="http://schemas.openxmlformats.org/officeDocument/2006/relationships/hyperlink" Target="https://www.microsave.net/2023/09/07/charting-new-heights-what-does-it-take-for-women-to-work-in-the-formal-economy/" TargetMode="External"/><Relationship Id="rId923" Type="http://schemas.openxmlformats.org/officeDocument/2006/relationships/hyperlink" Target="https://www.microsave.net/author/atulya-mishra/" TargetMode="External"/><Relationship Id="rId52" Type="http://schemas.openxmlformats.org/officeDocument/2006/relationships/hyperlink" Target="https://www.microsave.net/2014/04/24/why-is-financial-inclusion-in-india-not-improving-new-numbers-new-approaches/"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562" Type="http://schemas.openxmlformats.org/officeDocument/2006/relationships/hyperlink" Target="https://www.microsave.net/author/anant-tiwari/" TargetMode="External"/><Relationship Id="rId215" Type="http://schemas.openxmlformats.org/officeDocument/2006/relationships/hyperlink" Target="https://www.microsave.net/2019/01/17/a-journey-two-decades-in-the-making/" TargetMode="External"/><Relationship Id="rId257" Type="http://schemas.openxmlformats.org/officeDocument/2006/relationships/hyperlink" Target="https://www.microsave.net/author/akhand-jyoti-tiwari/" TargetMode="External"/><Relationship Id="rId422" Type="http://schemas.openxmlformats.org/officeDocument/2006/relationships/hyperlink" Target="https://www.microsave.net/author/kushagra-harshavardhan/" TargetMode="External"/><Relationship Id="rId464" Type="http://schemas.openxmlformats.org/officeDocument/2006/relationships/hyperlink" Target="https://www.microsave.net/author/sunil-bhat/" TargetMode="External"/><Relationship Id="rId867" Type="http://schemas.openxmlformats.org/officeDocument/2006/relationships/hyperlink" Target="https://www.microsave.net/author/naini/" TargetMode="External"/><Relationship Id="rId1010" Type="http://schemas.openxmlformats.org/officeDocument/2006/relationships/hyperlink" Target="https://www.microsave.net/2026/04/17/how-community-led-msmes-and-women-entrepreneurs-can-rebuild-rural-distribution-networks/"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author/shewta-menon/" TargetMode="External"/><Relationship Id="rId934" Type="http://schemas.openxmlformats.org/officeDocument/2006/relationships/hyperlink" Target="https://www.microsave.net/2025/04/24/the-case-for-smart-payments-in-indias-public-finance-future/"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2022/06/08/they-deliver-they-survive-and-finally-they-belong-blue-collar-workers-in-india-are-now-entitled-to-what-they-deserve-for-their-services/" TargetMode="External"/><Relationship Id="rId780" Type="http://schemas.openxmlformats.org/officeDocument/2006/relationships/hyperlink" Target="https://www.microsave.net/author/anant-jayant-natu/"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bit.ly/3uLSiNd" TargetMode="External"/><Relationship Id="rId878" Type="http://schemas.openxmlformats.org/officeDocument/2006/relationships/hyperlink" Target="https://www.microsave.net/2024/10/23/from-gig-work-to-financial-empowerment-embedded-finance-for-women-in-the-platform-economy/" TargetMode="External"/><Relationship Id="rId640" Type="http://schemas.openxmlformats.org/officeDocument/2006/relationships/hyperlink" Target="https://www.microsave.net/author/manoj-kumar-nayak/" TargetMode="External"/><Relationship Id="rId738" Type="http://schemas.openxmlformats.org/officeDocument/2006/relationships/hyperlink" Target="https://www.microsave.net/author/tvs-ravi-kumar/" TargetMode="External"/><Relationship Id="rId945" Type="http://schemas.openxmlformats.org/officeDocument/2006/relationships/hyperlink" Target="https://www.microsave.net/2025/06/26/digital-convenience-new-ways-for-indias-mfi-borrowers-to-repay-loans/"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author/rahul-chatterjee/" TargetMode="External"/><Relationship Id="rId584" Type="http://schemas.openxmlformats.org/officeDocument/2006/relationships/hyperlink" Target="https://www.microsave.net/author/shewta-menon/" TargetMode="External"/><Relationship Id="rId805" Type="http://schemas.openxmlformats.org/officeDocument/2006/relationships/hyperlink" Target="https://www.microsave.net/2024/03/01/can-locally-led-adaptation-planning-extend-the-digital-and-financial-inclusion-frontier/"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author/partha-ghosh/" TargetMode="External"/><Relationship Id="rId889" Type="http://schemas.openxmlformats.org/officeDocument/2006/relationships/hyperlink" Target="https://www.microsave.net/author/akhand-jyoti-tiwari/" TargetMode="External"/><Relationship Id="rId444" Type="http://schemas.openxmlformats.org/officeDocument/2006/relationships/hyperlink" Target="https://www.microsave.net/author/kritika-shukla/" TargetMode="External"/><Relationship Id="rId651" Type="http://schemas.openxmlformats.org/officeDocument/2006/relationships/hyperlink" Target="https://www.microsave.net/2023/01/27/traits-of-resilient-and-vulnerable-smallholder-farmers/" TargetMode="External"/><Relationship Id="rId749" Type="http://schemas.openxmlformats.org/officeDocument/2006/relationships/hyperlink" Target="https://www.microsave.net/author/anant-jayant-natu/"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2/14/ojk-adds-a-suite-of-exciting-tech-solutions-to-address-the-100000-consumer-complaints-and-ensure-stronger-consumer-protection-in-indonesia/" TargetMode="External"/><Relationship Id="rId609" Type="http://schemas.openxmlformats.org/officeDocument/2006/relationships/hyperlink" Target="https://www.microsave.net/author/mitali-singh/" TargetMode="External"/><Relationship Id="rId956" Type="http://schemas.openxmlformats.org/officeDocument/2006/relationships/hyperlink" Target="https://www.microsave.net/author/disha-bhavnani/"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author/msc/" TargetMode="External"/><Relationship Id="rId816" Type="http://schemas.openxmlformats.org/officeDocument/2006/relationships/hyperlink" Target="https://www.microsave.net/2024/04/15/piloting-smart-payments-for-odishas-special-schools/" TargetMode="External"/><Relationship Id="rId1001" Type="http://schemas.openxmlformats.org/officeDocument/2006/relationships/hyperlink" Target="https://www.microsave.net/2026/03/11/building-indias-climate-stack-why-agriculture-comes-first/"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2021/08/05/bangladesh-the-basket-case-that-taught-microfinance-to-the-world/" TargetMode="External"/><Relationship Id="rId662" Type="http://schemas.openxmlformats.org/officeDocument/2006/relationships/hyperlink" Target="https://www.microsave.net/author/graham-a-n-wright/"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author/sunil-bhat/" TargetMode="External"/><Relationship Id="rId967" Type="http://schemas.openxmlformats.org/officeDocument/2006/relationships/hyperlink" Target="https://www.microsave.net/2025/08/01/bridging-financial-inclusion-for-women-with-disabilities-in-indonesia/"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2021/02/07/digital-id-in-the-time-of-covid-19-in-india/" TargetMode="External"/><Relationship Id="rId827" Type="http://schemas.openxmlformats.org/officeDocument/2006/relationships/hyperlink" Target="https://www.microsave.net/author/emma-odera/" TargetMode="External"/><Relationship Id="rId1012" Type="http://schemas.openxmlformats.org/officeDocument/2006/relationships/hyperlink" Target="https://www.microsave.net/2026/04/22/driving-transformative-financial-inclusion-across-indias-aspirational-blocks-by-unlocking-the-power-of-last-mile-convergence/"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www.microsave.net/author/tenzin-varma/" TargetMode="External"/><Relationship Id="rId673" Type="http://schemas.openxmlformats.org/officeDocument/2006/relationships/hyperlink" Target="https://www.microsave.net/author/doreen-njau/" TargetMode="External"/><Relationship Id="rId880" Type="http://schemas.openxmlformats.org/officeDocument/2006/relationships/hyperlink" Target="https://www.microsave.net/2024/10/25/digital-platforms-catalysts-for-growth-and-sustainability-among-bangladeshs-microentrepreneurs-part-1/"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2022/02/14/a-fine-tuned-approach-to-digital-platform-design-and-development-in-africa-part-i/" TargetMode="External"/><Relationship Id="rId978" Type="http://schemas.openxmlformats.org/officeDocument/2006/relationships/hyperlink" Target="https://www.microsave.net/2025/11/11/how-women-dairy-farmers-in-bihar-are-building-fairer-and-stronger-markets-through-collective-action/" TargetMode="External"/><Relationship Id="rId740" Type="http://schemas.openxmlformats.org/officeDocument/2006/relationships/hyperlink" Target="https://www.microsave.net/author/putri-agnesia-wardhani/" TargetMode="External"/><Relationship Id="rId838" Type="http://schemas.openxmlformats.org/officeDocument/2006/relationships/hyperlink" Target="https://www.microsave.net/2024/05/15/community-matters-building-and-nourishing-peer-groups-to-bridge-the-mentorship-gap-among-women-led-businesses/"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bit.ly/2WfySnE" TargetMode="External"/><Relationship Id="rId600" Type="http://schemas.openxmlformats.org/officeDocument/2006/relationships/hyperlink" Target="https://www.microsave.net/2022/09/15/do-conditional-cash-transfers-improve-education-outcomes-insights-from-the-pesp-program-in-bangladesh/" TargetMode="External"/><Relationship Id="rId684" Type="http://schemas.openxmlformats.org/officeDocument/2006/relationships/hyperlink" Target="https://www.microsave.net/2023/06/06/portability-transactions-of-the-public-distribution-system-under-one-nation-one-ration-card-why-is-portability-working-so-well-for-delhi/"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author/ayushi-misra/" TargetMode="External"/><Relationship Id="rId905" Type="http://schemas.openxmlformats.org/officeDocument/2006/relationships/hyperlink" Target="https://www.microsave.net/author/ayushi-misra/" TargetMode="External"/><Relationship Id="rId989" Type="http://schemas.openxmlformats.org/officeDocument/2006/relationships/hyperlink" Target="https://www.microsave.net/2025/12/09/part-1-advancing-financial-inclusion-for-climate-displaced-persons-in-sub-saharan-africa/"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author/msc/" TargetMode="External"/><Relationship Id="rId751" Type="http://schemas.openxmlformats.org/officeDocument/2006/relationships/hyperlink" Target="https://www.microsave.net/author/shalom-mbugua/" TargetMode="External"/><Relationship Id="rId849" Type="http://schemas.openxmlformats.org/officeDocument/2006/relationships/hyperlink" Target="https://www.microsave.net/author/brian-owino/"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author/aakash-mehrotra/" TargetMode="External"/><Relationship Id="rId611" Type="http://schemas.openxmlformats.org/officeDocument/2006/relationships/hyperlink" Target="https://www.microsave.net/author/vishes-kumar-jen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www.microsave.net/author/diya-chatterjee/" TargetMode="External"/><Relationship Id="rId695" Type="http://schemas.openxmlformats.org/officeDocument/2006/relationships/hyperlink" Target="https://www.microsave.net/author/mitali-singh/" TargetMode="External"/><Relationship Id="rId709" Type="http://schemas.openxmlformats.org/officeDocument/2006/relationships/hyperlink" Target="https://www.microsave.net/author/tvs-ravi-kumar/" TargetMode="External"/><Relationship Id="rId916" Type="http://schemas.openxmlformats.org/officeDocument/2006/relationships/hyperlink" Target="https://www.microsave.net/author/manmohan-singh/"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2022/04/26/do-young-entrepreneurs-need-new-skills-in-a-rapidly-evolving-digital-world/" TargetMode="External"/><Relationship Id="rId762" Type="http://schemas.openxmlformats.org/officeDocument/2006/relationships/hyperlink" Target="https://www.microsave.net/2014/06/08/expanding-access-to-finance-for-small-businesses-in-india-a-critique-of-the-mor-committees-approach-part-3-assessing-access-to-finance-for-small-businesse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bit.ly/30s19pG" TargetMode="External"/><Relationship Id="rId622" Type="http://schemas.openxmlformats.org/officeDocument/2006/relationships/hyperlink" Target="https://bit.ly/3Of19BJ"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2021/09/03/life-on-credit-why-and-how-do-corner-shop-owners-take-loans/" TargetMode="External"/><Relationship Id="rId927" Type="http://schemas.openxmlformats.org/officeDocument/2006/relationships/hyperlink" Target="https://www.microsave.net/author/akhand-jyoti-tiwari/"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6/01/yespoho-weaving-a-growth-story-for-the-handloom-industry/" TargetMode="External"/><Relationship Id="rId773" Type="http://schemas.openxmlformats.org/officeDocument/2006/relationships/hyperlink" Target="https://www.microsave.net/author/rhifa-ayudhi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author/abhishek-jain/" TargetMode="External"/><Relationship Id="rId633" Type="http://schemas.openxmlformats.org/officeDocument/2006/relationships/hyperlink" Target="https://bit.ly/3IIL3zp" TargetMode="External"/><Relationship Id="rId980" Type="http://schemas.openxmlformats.org/officeDocument/2006/relationships/hyperlink" Target="https://www.microsave.net/2025/11/06/how-digital-tax-reforms-can-transform-nigerias-revenue-challenges-into-fiscal-successes/" TargetMode="External"/><Relationship Id="rId840" Type="http://schemas.openxmlformats.org/officeDocument/2006/relationships/hyperlink" Target="https://www.microsave.net/2024/05/24/the-role-of-finance-in-unlocking-kenyas-electric-motorcycle-e-boda-subsectors-growth/" TargetMode="External"/><Relationship Id="rId938" Type="http://schemas.openxmlformats.org/officeDocument/2006/relationships/hyperlink" Target="https://www.microsave.net/2025/05/23/new-credit-reporting-rules-what-has-changed-for-borrowers-and-lenders/"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2022/06/11/credithaat-making-distribution-of-financial-services-targeted-simple-and-effective/" TargetMode="External"/><Relationship Id="rId700" Type="http://schemas.openxmlformats.org/officeDocument/2006/relationships/hyperlink" Target="https://www.microsave.net/2023/07/12/gogullak-making-personal-finance-management-easier/"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2024/01/25/after-25-years-we-live-in-interesting-times-technology-and-climate-change/" TargetMode="External"/><Relationship Id="rId991" Type="http://schemas.openxmlformats.org/officeDocument/2006/relationships/hyperlink" Target="https://www.microsave.net/2025/12/11/how-development-partners-can-enable-an-inclusive-multi-bureau-future/" TargetMode="External"/><Relationship Id="rId437" Type="http://schemas.openxmlformats.org/officeDocument/2006/relationships/hyperlink" Target="https://www.microsave.net/2021/05/17/taking-the-well-designed-sabla-scheme-to-the-next-level-part-i/" TargetMode="External"/><Relationship Id="rId644" Type="http://schemas.openxmlformats.org/officeDocument/2006/relationships/hyperlink" Target="https://www.microsave.net/author/manoj-kumar-nayak/" TargetMode="External"/><Relationship Id="rId851" Type="http://schemas.openxmlformats.org/officeDocument/2006/relationships/hyperlink" Target="https://www.microsave.net/author/msc/"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www.microsave.net/author/diya-chatterjee/" TargetMode="External"/><Relationship Id="rId504" Type="http://schemas.openxmlformats.org/officeDocument/2006/relationships/hyperlink" Target="https://www.microsave.net/2021/11/18/low-awareness-of-fertilizer-subsidy-a-challenge-to-subsidy-reforms/" TargetMode="External"/><Relationship Id="rId711" Type="http://schemas.openxmlformats.org/officeDocument/2006/relationships/hyperlink" Target="https://www.microsave.net/author/monica-dutta/" TargetMode="External"/><Relationship Id="rId949" Type="http://schemas.openxmlformats.org/officeDocument/2006/relationships/hyperlink" Target="https://www.microsave.net/2025/07/08/the-next-chapter-in-kenyas-digital-payment-revolution/"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bit.ly/3TP2Nfp" TargetMode="External"/><Relationship Id="rId795" Type="http://schemas.openxmlformats.org/officeDocument/2006/relationships/hyperlink" Target="https://www.microsave.net/author/debarshi-chakraborty/" TargetMode="External"/><Relationship Id="rId809" Type="http://schemas.openxmlformats.org/officeDocument/2006/relationships/hyperlink" Target="https://www.microsave.net/author/ariane-kouassi/"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www.microsave.net/author/puneet-khanduja/" TargetMode="External"/><Relationship Id="rId655" Type="http://schemas.openxmlformats.org/officeDocument/2006/relationships/hyperlink" Target="https://www.microsave.net/2023/01/27/seven-factors-that-determine-the-resilience-and-adaptive-ability-of-smallholder-farmers-in-bihar/" TargetMode="External"/><Relationship Id="rId862" Type="http://schemas.openxmlformats.org/officeDocument/2006/relationships/hyperlink" Target="https://www.microsave.net/2024/09/18/using-a-behavioral-lens-to-develop-training-and-marketing-tools-to-enable-agents-to-sell-non-cico-cash-in-and-cash-out-use-cases-in-india/"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2022/01/20/could-2022-be-the-watershed-moment-for-the-cico-networks-in-indonesia/" TargetMode="External"/><Relationship Id="rId722" Type="http://schemas.openxmlformats.org/officeDocument/2006/relationships/hyperlink" Target="https://www.microsave.net/2023/10/03/digital-payments-in-india-unlocking-an-opportunity-worth-usd-10-trillio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13/india-post-payments-bank-overcoming-distance-and-distrust-amongst-the-unbanked/" TargetMode="External"/><Relationship Id="rId1005" Type="http://schemas.openxmlformats.org/officeDocument/2006/relationships/hyperlink" Target="https://www.microsave.net/2021/02/17/the-corner-shop-diaries-project-how-small-businesses-in-developing-countries-coped-with-the-pandemic-helped-the-neighborhood-to/" TargetMode="External"/><Relationship Id="rId459" Type="http://schemas.openxmlformats.org/officeDocument/2006/relationships/hyperlink" Target="https://www.microsave.net/2021/08/09/aggois-creating-robust-liquidity-for-farmers/" TargetMode="External"/><Relationship Id="rId666" Type="http://schemas.openxmlformats.org/officeDocument/2006/relationships/hyperlink" Target="https://www.microsave.net/author/parul/" TargetMode="External"/><Relationship Id="rId873" Type="http://schemas.openxmlformats.org/officeDocument/2006/relationships/hyperlink" Target="https://www.microsave.net/author/pauline-katunyo/"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2/01/jumpstarting-the-savings-journey-for-low-and-moderate-income-people-in-vietnam/" TargetMode="External"/><Relationship Id="rId733" Type="http://schemas.openxmlformats.org/officeDocument/2006/relationships/hyperlink" Target="https://www.microsave.net/2023/11/08/empowering-communities-the-vital-role-of-local-government-in-locally-led-adaptation-lla/" TargetMode="External"/><Relationship Id="rId940" Type="http://schemas.openxmlformats.org/officeDocument/2006/relationships/hyperlink" Target="https://www.microsave.net/author/sadia-shahnaz/" TargetMode="External"/><Relationship Id="rId1016" Type="http://schemas.openxmlformats.org/officeDocument/2006/relationships/hyperlink" Target="https://www.microsave.net/2026/05/05/who-is-responsible-closing-the-accountability-gap-in-financial-fraud-prevention/"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author/tvs-ravi-kumar/" TargetMode="External"/><Relationship Id="rId800" Type="http://schemas.openxmlformats.org/officeDocument/2006/relationships/hyperlink" Target="https://www.microsave.net/2024/02/27/a-transformative-odyssey-the-impact-of-smart-payments-in-benefit-delivery/"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1/07/impact-of-bank-mergers-on-low-to-moderate-income-communitie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2022/02/16/putting-indias-demographic-dividend-to-work-skill-development-for-a-digital-economy/" TargetMode="External"/><Relationship Id="rId744" Type="http://schemas.openxmlformats.org/officeDocument/2006/relationships/hyperlink" Target="https://www.microsave.net/author/sneha-sampath/" TargetMode="External"/><Relationship Id="rId951" Type="http://schemas.openxmlformats.org/officeDocument/2006/relationships/hyperlink" Target="https://www.microsave.net/2025/07/09/strengthening-the-backbone-of-indonesias-fisheries-a-call-to-action/"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bit.ly/3RqfyLS" TargetMode="External"/><Relationship Id="rId604" Type="http://schemas.openxmlformats.org/officeDocument/2006/relationships/hyperlink" Target="https://www.microsave.net/2022/09/20/postal-banks-a-stepping-stone-to-the-formal-financial-system/" TargetMode="External"/><Relationship Id="rId811" Type="http://schemas.openxmlformats.org/officeDocument/2006/relationships/hyperlink" Target="https://www.microsave.net/author/disha-bhavnani/"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author/truong-thi-le-quyen/" TargetMode="External"/><Relationship Id="rId688" Type="http://schemas.openxmlformats.org/officeDocument/2006/relationships/hyperlink" Target="https://www.microsave.net/2023/06/28/%e2%82%b9oopya-for-all-progressive-credit-that-leaves-no-one-behind/" TargetMode="External"/><Relationship Id="rId895" Type="http://schemas.openxmlformats.org/officeDocument/2006/relationships/hyperlink" Target="https://www.microsave.net/author/mahima-dixit/" TargetMode="External"/><Relationship Id="rId909" Type="http://schemas.openxmlformats.org/officeDocument/2006/relationships/hyperlink" Target="https://www.microsave.net/2025/03/03/small-investments-big-hurdles-why-sebis-sip-initiative-needs-a-stronger-backbone/"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author/mitul-thapliyal/" TargetMode="External"/><Relationship Id="rId755" Type="http://schemas.openxmlformats.org/officeDocument/2006/relationships/hyperlink" Target="https://www.microsave.net/2014/05/26/beware-the-otc-trap-is-there-a-way-out/https:/www.microsave.net/2014/05/26/beware-the-otc-trap-is-there-a-way-out/" TargetMode="External"/><Relationship Id="rId962" Type="http://schemas.openxmlformats.org/officeDocument/2006/relationships/hyperlink" Target="https://www.microsave.net/author/doreen-njau/"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author/rahul-chatterjee/" TargetMode="External"/><Relationship Id="rId615" Type="http://schemas.openxmlformats.org/officeDocument/2006/relationships/hyperlink" Target="https://www.microsave.net/author/arshi-aadil/" TargetMode="External"/><Relationship Id="rId822" Type="http://schemas.openxmlformats.org/officeDocument/2006/relationships/hyperlink" Target="https://www.microsave.net/2024/04/22/from-ponds-to-plates-the-enhancement-of-nutrition-through-fish-consumption-in-bihar-india/"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author/ankit-kumar/"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bit.ly/3y4wFZi" TargetMode="External"/><Relationship Id="rId559" Type="http://schemas.openxmlformats.org/officeDocument/2006/relationships/hyperlink" Target="https://www.microsave.net/2022/05/16/testing-a-behavioral-design-approach-to-deliver-product-information-at-agent-outlets/" TargetMode="External"/><Relationship Id="rId766" Type="http://schemas.openxmlformats.org/officeDocument/2006/relationships/hyperlink" Target="https://www.microsave.net/2023/12/06/locked-out-of-homeownership-exploring-the-challenges-of-accessing-affordable-housing-finance-in-kenya/"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2021/04/06/pmay-g-transforming-the-rural-housing-program-in-india-part-i/" TargetMode="External"/><Relationship Id="rId626" Type="http://schemas.openxmlformats.org/officeDocument/2006/relationships/hyperlink" Target="https://www.microsave.net/author/aakash-mehrotra/" TargetMode="External"/><Relationship Id="rId973" Type="http://schemas.openxmlformats.org/officeDocument/2006/relationships/hyperlink" Target="https://www.microsave.net/2025/09/12/how-we-can-tackle-dark-patterns-in-indias-digital-economy/" TargetMode="External"/><Relationship Id="rId833" Type="http://schemas.openxmlformats.org/officeDocument/2006/relationships/hyperlink" Target="https://www.microsave.net/author/smriti-misra/"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www.microsave.net/author/mitali-singh/" TargetMode="External"/><Relationship Id="rId900" Type="http://schemas.openxmlformats.org/officeDocument/2006/relationships/hyperlink" Target="https://www.microsave.net/author/ayushi-misra/"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author/msc/" TargetMode="External"/><Relationship Id="rId984" Type="http://schemas.openxmlformats.org/officeDocument/2006/relationships/hyperlink" Target="https://www.microsave.net/2025/09/26/resilience-at-the-waters-edge-lessons-from-deploying-the-locally-led-adaptation-lla-for-inclusive-financial-service-providers-ifsps-toolkit-in-varanasi/" TargetMode="External"/><Relationship Id="rId637" Type="http://schemas.openxmlformats.org/officeDocument/2006/relationships/hyperlink" Target="https://bit.ly/3GyQtdK" TargetMode="External"/><Relationship Id="rId844" Type="http://schemas.openxmlformats.org/officeDocument/2006/relationships/hyperlink" Target="https://www.microsave.net/2024/06/04/the-heat-is-on-charting-urban-indias-course-toward-climate-resilient-health/"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bit.ly/3B3SzxB" TargetMode="External"/><Relationship Id="rId690" Type="http://schemas.openxmlformats.org/officeDocument/2006/relationships/hyperlink" Target="https://www.microsave.net/2023/06/30/customer-protection-risks-limit-the-use-of-dfs-among-women-here-is-what-we-can-do/" TargetMode="External"/><Relationship Id="rId704" Type="http://schemas.openxmlformats.org/officeDocument/2006/relationships/hyperlink" Target="https://www.microsave.net/2023/07/13/chhotastock-democratizing-investments-for-all/" TargetMode="External"/><Relationship Id="rId911" Type="http://schemas.openxmlformats.org/officeDocument/2006/relationships/hyperlink" Target="https://www.microsave.net/author/md-farista-andalib/"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author/graham-a-n-wright/" TargetMode="External"/><Relationship Id="rId788" Type="http://schemas.openxmlformats.org/officeDocument/2006/relationships/hyperlink" Target="https://www.microsave.net/2024/01/31/india-from-laggard-to-leader-what-a-journey/" TargetMode="External"/><Relationship Id="rId995" Type="http://schemas.openxmlformats.org/officeDocument/2006/relationships/hyperlink" Target="https://www.microsave.net/2025/12/31/inside-the-innovation-lab-how-institutions-can-learn-adapt-and-scale-like-startups/"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author/rahul-chatterjee/" TargetMode="External"/><Relationship Id="rId855" Type="http://schemas.openxmlformats.org/officeDocument/2006/relationships/hyperlink" Target="https://www.microsave.net/2024/07/30/bridging-the-digital-divide-by-enhancing-effective-digital-finance-usage-among-the-poor-an-rct-project-part-2/"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author/rahul-chatterjee/" TargetMode="External"/><Relationship Id="rId494" Type="http://schemas.openxmlformats.org/officeDocument/2006/relationships/hyperlink" Target="https://www.microsave.net/author/aakash-mehrotra/" TargetMode="External"/><Relationship Id="rId508"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715" Type="http://schemas.openxmlformats.org/officeDocument/2006/relationships/hyperlink" Target="https://www.microsave.net/author/arshi-aadil/" TargetMode="External"/><Relationship Id="rId922" Type="http://schemas.openxmlformats.org/officeDocument/2006/relationships/hyperlink" Target="https://www.microsave.net/2025/04/10/how-can-india-fulfil-her-inclusive-development-dream/"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author/akhand-jyoti-tiwari/"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2022/05/17/are-you-designing-a-behavior-change-communication-message-to-encourage-the-use-of-agent-banking-among-the-lmi-women-in-rural-areas-here-is-what-you-need-to-know/" TargetMode="External"/><Relationship Id="rId659" Type="http://schemas.openxmlformats.org/officeDocument/2006/relationships/hyperlink" Target="https://www.microsave.net/2023/01/27/bangladesh-and-climate-change-lessons-from-the-frontline/" TargetMode="External"/><Relationship Id="rId866" Type="http://schemas.openxmlformats.org/officeDocument/2006/relationships/hyperlink" Target="https://www.microsave.net/2024/10/04/understanding-micro-entrepreneurs-and-their-relation-with-digital-platforms-in-india/"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bit.ly/3gc5LcJ" TargetMode="External"/><Relationship Id="rId519" Type="http://schemas.openxmlformats.org/officeDocument/2006/relationships/hyperlink" Target="https://www.microsave.net/2022/01/24/credit-for-low-and-moderate-income-people-in-bangladesh-can-new-age-banks-and-fintechs-deliver-the-regulators-wish/"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2023/10/05/open-network-for-digital-commerce-ondc-yet-another-buzzword-or-a-bridge-to-inclusive-and-universal-market-access/" TargetMode="External"/><Relationship Id="rId933" Type="http://schemas.openxmlformats.org/officeDocument/2006/relationships/hyperlink" Target="https://www.microsave.net/author/graham-a-n-wright/" TargetMode="External"/><Relationship Id="rId1009" Type="http://schemas.openxmlformats.org/officeDocument/2006/relationships/hyperlink" Target="https://www.microsave.net/2026/04/15/why-female-agents-are-the-litmus-test-for-nigerias-new-agency-banking-guidelines/"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author/graham-a-n-wright/"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www.microsave.net/author/anup-singh/" TargetMode="External"/><Relationship Id="rId877" Type="http://schemas.openxmlformats.org/officeDocument/2006/relationships/hyperlink" Target="https://www.microsave.net/author/sukhpreet-kaur/" TargetMode="External"/><Relationship Id="rId737" Type="http://schemas.openxmlformats.org/officeDocument/2006/relationships/hyperlink" Target="https://www.microsave.net/2023/11/24/five-challenges-that-prevent-greater-adoption-of-derivatives-trading-by-farmer-producer-companies-fpcs/" TargetMode="External"/><Relationship Id="rId944" Type="http://schemas.openxmlformats.org/officeDocument/2006/relationships/hyperlink" Target="https://www.microsave.net/author/melya-findi-astut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2022/06/14/the-mool-mantra-simplifying-financial-services-for-the-masses/" TargetMode="External"/><Relationship Id="rId790" Type="http://schemas.openxmlformats.org/officeDocument/2006/relationships/hyperlink" Target="https://www.microsave.net/2024/02/05/finance-is-the-key-often-missing-ingredient-in-locally-led-adaptation/" TargetMode="External"/><Relationship Id="rId804" Type="http://schemas.openxmlformats.org/officeDocument/2006/relationships/hyperlink" Target="https://www.microsave.net/2024/03/01/can-ai-help-with-locally-led-adaptation-the-solutions/"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bit.ly/34xEf2g" TargetMode="External"/><Relationship Id="rId650" Type="http://schemas.openxmlformats.org/officeDocument/2006/relationships/hyperlink" Target="https://www.microsave.net/author/partha-ghosh/" TargetMode="External"/><Relationship Id="rId888" Type="http://schemas.openxmlformats.org/officeDocument/2006/relationships/hyperlink" Target="https://www.microsave.net/2024/11/11/gender-intelligent-banking-part-1-a-practitioners-perspective-on-designing-financial-services-for-women/"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30/design-elements-for-a-facility-to-finance-energy-transition/" TargetMode="External"/><Relationship Id="rId955" Type="http://schemas.openxmlformats.org/officeDocument/2006/relationships/hyperlink" Target="https://www.microsave.net/2025/07/10/a-race-against-cyber-threats-biometric-adoption-in-southeast-asias-banking-sector/"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author/anant-tiwari/" TargetMode="External"/><Relationship Id="rId594" Type="http://schemas.openxmlformats.org/officeDocument/2006/relationships/hyperlink" Target="https://bit.ly/3emNiuZ" TargetMode="External"/><Relationship Id="rId608" Type="http://schemas.openxmlformats.org/officeDocument/2006/relationships/hyperlink" Target="https://www.microsave.net/2022/09/23/how-have-low-income-communities-embraced-digital-payments-in-india/" TargetMode="External"/><Relationship Id="rId815" Type="http://schemas.openxmlformats.org/officeDocument/2006/relationships/hyperlink" Target="https://www.microsave.net/author/sonal-jaitly/"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5/02/13/in-small-businesses-male-and-female-business-owners-are-more-alike-than-we-think/" TargetMode="External"/><Relationship Id="rId1000" Type="http://schemas.openxmlformats.org/officeDocument/2006/relationships/hyperlink" Target="https://www.microsave.net/2026/02/17/scaling-trust-a-transaction-level-observability-framework-for-national-id-programs/"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author/louie-lanzador-cepe/" TargetMode="External"/><Relationship Id="rId661" Type="http://schemas.openxmlformats.org/officeDocument/2006/relationships/hyperlink" Target="https://www.microsave.net/2023/01/27/climate-change-and-river-erosion-what-can-we-learn-from-the-past/" TargetMode="External"/><Relationship Id="rId759" Type="http://schemas.openxmlformats.org/officeDocument/2006/relationships/hyperlink" Target="http://blog.microsave.net/smart-electronic-ticketing-for-public-transport/" TargetMode="External"/><Relationship Id="rId966" Type="http://schemas.openxmlformats.org/officeDocument/2006/relationships/hyperlink" Target="https://www.microsave.net/author/aarjan-dixit/"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www.microsave.net/author/anshul-saxena/" TargetMode="External"/><Relationship Id="rId521" Type="http://schemas.openxmlformats.org/officeDocument/2006/relationships/hyperlink" Target="https://www.microsave.net/2022/01/25/different-yet-similar-behavioral-biases-of-low-and-moderate-income-people-in-bangladesh-and-vietnam/" TargetMode="External"/><Relationship Id="rId619" Type="http://schemas.openxmlformats.org/officeDocument/2006/relationships/hyperlink" Target="https://www.microsave.net/author/graham-a-n-wright/"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2024/04/25/empowering-female-smallholder-farmers-with-gender-responsive-agri-finance-solutions/" TargetMode="External"/><Relationship Id="rId1011" Type="http://schemas.openxmlformats.org/officeDocument/2006/relationships/hyperlink" Target="https://www.microsave.net/2026/04/21/a-district-led-model-for-advancing-financial-inclusion-from-the-ground-up/"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bit.ly/3gp953v" TargetMode="External"/><Relationship Id="rId672" Type="http://schemas.openxmlformats.org/officeDocument/2006/relationships/hyperlink" Target="https://www.microsave.net/2023/04/06/how-policy-changes-could-revolutionize-how-entrepreneurs-in-kenya-can-access-finance/"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author/akhand-jyoti-tiwari/" TargetMode="External"/><Relationship Id="rId977" Type="http://schemas.openxmlformats.org/officeDocument/2006/relationships/hyperlink" Target="https://www.microsave.net/2025/11/12/agristack-a-dpi-approach-to-transform-indian-agriculture/"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author/anant-jayant-natu/"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www.microsave.net/author/manali-jain/" TargetMode="External"/><Relationship Id="rId683" Type="http://schemas.openxmlformats.org/officeDocument/2006/relationships/hyperlink" Target="https://www.microsave.net/author/surbhi-sood/" TargetMode="External"/><Relationship Id="rId890" Type="http://schemas.openxmlformats.org/officeDocument/2006/relationships/hyperlink" Target="https://www.microsave.net/2024/11/13/formalizing-businesses-in-bangladesh-how-women-entrepreneurs-see-the-trade-licensing-process/" TargetMode="External"/><Relationship Id="rId904" Type="http://schemas.openxmlformats.org/officeDocument/2006/relationships/hyperlink" Target="https://www.microsave.net/2025/03/03/mutual-funds-for-small-investors-a-good-idea-that-needs-the-right-execution/"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3/08/grassroots-women-leaders-transforming-lives/" TargetMode="External"/><Relationship Id="rId988" Type="http://schemas.openxmlformats.org/officeDocument/2006/relationships/hyperlink" Target="https://www.microsave.net/2025/11/25/building-blocks-of-agristack-farm-geo-referenced-village-maps-registry/"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2021/02/11/nfhs-5-calls-for-urgent-action-on-child-nutrition-in-india/" TargetMode="External"/><Relationship Id="rId750" Type="http://schemas.openxmlformats.org/officeDocument/2006/relationships/hyperlink" Target="https://www.microsave.net/2023/12/04/access-to-finance-alone-will-not-save-youth-from-unemployment-what-will-part-1/" TargetMode="External"/><Relationship Id="rId848" Type="http://schemas.openxmlformats.org/officeDocument/2006/relationships/hyperlink" Target="https://www.microsave.net/2024/07/12/how-can-digital-financial-services-accelerate-community-resilience-in-locally-led-adaptation-initiatives-in-africa/" TargetMode="External"/><Relationship Id="rId487" Type="http://schemas.openxmlformats.org/officeDocument/2006/relationships/hyperlink" Target="https://bit.ly/38aF96s" TargetMode="External"/><Relationship Id="rId610" Type="http://schemas.openxmlformats.org/officeDocument/2006/relationships/hyperlink" Target="https://www.microsave.net/2022/09/26/retail-digital-payments-in-india-a-massive-opportunity-worth-at-least-inr-45-billion-usd-608-million/" TargetMode="External"/><Relationship Id="rId694" Type="http://schemas.openxmlformats.org/officeDocument/2006/relationships/hyperlink" Target="https://www.microsave.net/2023/07/10/makspay-a-bold-bid-to-unlock-the-untapped-potential-of-indias-street-vending-economy/" TargetMode="External"/><Relationship Id="rId708" Type="http://schemas.openxmlformats.org/officeDocument/2006/relationships/hyperlink" Target="https://www.microsave.net/2023/08/08/crisis-resilience-and-adaptation-farming-and-financial-services-in-times-of-climate-change/" TargetMode="External"/><Relationship Id="rId915" Type="http://schemas.openxmlformats.org/officeDocument/2006/relationships/hyperlink" Target="https://www.microsave.net/2025/03/20/building-lmi-communities-confidence-in-digital-financial-services-a-behavioral-science-approach/"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6/02/04/the-intelligent-use-of-ai-and-data-science-in-the-lifecycle-of-national-identity-systems/"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author/sonal-jaitly/" TargetMode="External"/><Relationship Id="rId761" Type="http://schemas.openxmlformats.org/officeDocument/2006/relationships/hyperlink" Target="https://www.microsave.net/2015/06/24/in-our-digital-financial-service-we-trust/" TargetMode="External"/><Relationship Id="rId859" Type="http://schemas.openxmlformats.org/officeDocument/2006/relationships/hyperlink" Target="https://www.microsave.net/author/nikhita-jindal/"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author/rahul-chatterjee/" TargetMode="External"/><Relationship Id="rId498" Type="http://schemas.openxmlformats.org/officeDocument/2006/relationships/hyperlink" Target="https://www.microsave.net/author/graham-a-n-wright/" TargetMode="External"/><Relationship Id="rId621" Type="http://schemas.openxmlformats.org/officeDocument/2006/relationships/hyperlink" Target="https://www.microsave.net/author/akshat-pathak/"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author/shivansh-gupta/" TargetMode="External"/><Relationship Id="rId926" Type="http://schemas.openxmlformats.org/officeDocument/2006/relationships/hyperlink" Target="https://www.microsave.net/2025/04/22/to-fight-climate-change-india-must-tap-into-its-indigenous-roots/"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bhinav-guptha/" TargetMode="External"/><Relationship Id="rId772" Type="http://schemas.openxmlformats.org/officeDocument/2006/relationships/hyperlink" Target="https://www.microsave.net/2023/12/19/from-break-out-to-breakthrough-ways-to-sustain-digital-momentum-in-indonesia/"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2021/04/15/mgnrega-the-delay-in-wage-payments-part-ii/" TargetMode="External"/><Relationship Id="rId632" Type="http://schemas.openxmlformats.org/officeDocument/2006/relationships/hyperlink" Target="https://www.microsave.net/author/aakash-mehrotra/"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author/puneet-khanduja/"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author/vishes-kumar-jena/" TargetMode="External"/><Relationship Id="rId783" Type="http://schemas.openxmlformats.org/officeDocument/2006/relationships/hyperlink" Target="https://www.microsave.net/author/graham-a-n-wright/" TargetMode="External"/><Relationship Id="rId990" Type="http://schemas.openxmlformats.org/officeDocument/2006/relationships/hyperlink" Target="https://www.microsave.net/2025/12/09/part-2-moving-climate-displaced-persons-to-financial-self-reliance/"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www.microsave.net/author/astri-sri-sulastri/" TargetMode="External"/><Relationship Id="rId643" Type="http://schemas.openxmlformats.org/officeDocument/2006/relationships/hyperlink" Target="https://www.microsave.net/2023/01/16/transitioning-the-informal-economy-to-a-formal-one/" TargetMode="External"/><Relationship Id="rId850" Type="http://schemas.openxmlformats.org/officeDocument/2006/relationships/hyperlink" Target="https://www.microsave.net/2024/07/22/the-digital-id-hackathon-africa-by-the-upanzi-network-and-msc-microsave-consulting/" TargetMode="External"/><Relationship Id="rId948" Type="http://schemas.openxmlformats.org/officeDocument/2006/relationships/hyperlink" Target="https://www.microsave.net/author/dipanshi-sood/"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2021/10/29/sibs-can-make-development-spending-more-effective/" TargetMode="External"/><Relationship Id="rId587" Type="http://schemas.openxmlformats.org/officeDocument/2006/relationships/hyperlink" Target="https://www.microsave.net/2014/05/09/beware-the-otc-trap/" TargetMode="External"/><Relationship Id="rId710" Type="http://schemas.openxmlformats.org/officeDocument/2006/relationships/hyperlink" Target="https://www.microsave.net/2023/08/08/the-climate-crisis-is-not-gender-neutral-womens-voices-must-be-heard/" TargetMode="External"/><Relationship Id="rId808" Type="http://schemas.openxmlformats.org/officeDocument/2006/relationships/hyperlink" Target="https://www.microsave.net/2024/03/06/womens-entrepreneurship-what-can-be-done-to-improve-access-to-finance/"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2021/06/11/vaccine-hesitancy-an-impending-barrier-to-indias-covid-19-vaccination-program/" TargetMode="External"/><Relationship Id="rId794" Type="http://schemas.openxmlformats.org/officeDocument/2006/relationships/hyperlink" Target="https://www.microsave.net/2024/02/06/can-ai-help-with-locally-led-adaptation-the-challenges/" TargetMode="External"/><Relationship Id="rId654" Type="http://schemas.openxmlformats.org/officeDocument/2006/relationships/hyperlink" Target="https://www.microsave.net/author/graham-a-n-wright/" TargetMode="External"/><Relationship Id="rId861" Type="http://schemas.openxmlformats.org/officeDocument/2006/relationships/hyperlink" Target="https://www.microsave.net/author/nikhita-jindal/" TargetMode="External"/><Relationship Id="rId959" Type="http://schemas.openxmlformats.org/officeDocument/2006/relationships/hyperlink" Target="https://www.microsave.net/2025/07/16/a-pathway-to-smart-public-spending-and-optimum-use-of-public-funds/"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author/msc/" TargetMode="External"/><Relationship Id="rId721" Type="http://schemas.openxmlformats.org/officeDocument/2006/relationships/hyperlink" Target="https://www.microsave.net/author/rahul-chatterjee/"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diya-chatterjee/" TargetMode="External"/><Relationship Id="rId819" Type="http://schemas.openxmlformats.org/officeDocument/2006/relationships/hyperlink" Target="https://www.microsave.net/author/subhash-singh/" TargetMode="External"/><Relationship Id="rId1004" Type="http://schemas.openxmlformats.org/officeDocument/2006/relationships/hyperlink" Target="https://www.microsave.net/2021/02/10/reimagining-the-indian-governments-telemedicine-platform/" TargetMode="External"/><Relationship Id="rId220" Type="http://schemas.openxmlformats.org/officeDocument/2006/relationships/hyperlink" Target="http://bit.ly/2FS0N1C" TargetMode="External"/><Relationship Id="rId458" Type="http://schemas.openxmlformats.org/officeDocument/2006/relationships/hyperlink" Target="https://www.microsave.net/author/mitali-singh/" TargetMode="External"/><Relationship Id="rId665" Type="http://schemas.openxmlformats.org/officeDocument/2006/relationships/hyperlink" Target="https://www.microsave.net/2023/03/20/debit-unpacking-womens-choice-of-financial-channels/" TargetMode="External"/><Relationship Id="rId872" Type="http://schemas.openxmlformats.org/officeDocument/2006/relationships/hyperlink" Target="https://www.microsave.net/2024/10/11/green-financing-solutions-for-housing-in-africa-paving-the-way-for-sustainable-development/"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akshat-pathak/" TargetMode="External"/><Relationship Id="rId732" Type="http://schemas.openxmlformats.org/officeDocument/2006/relationships/hyperlink" Target="https://www.microsave.net/author/sonal-jaitly/"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1015" Type="http://schemas.openxmlformats.org/officeDocument/2006/relationships/hyperlink" Target="https://www.microsave.net/2026/05/05/the-operational-machine-how-financial-fraud-is-industrialized-scripted-and-monetized-before-protection-systems-can-respond/" TargetMode="External"/><Relationship Id="rId469" Type="http://schemas.openxmlformats.org/officeDocument/2006/relationships/hyperlink" Target="https://bit.ly/2WamPIE" TargetMode="External"/><Relationship Id="rId676" Type="http://schemas.openxmlformats.org/officeDocument/2006/relationships/hyperlink" Target="https://www.microsave.net/2023/04/14/can-farmer-producer-companies-fpcs-benefit-from-participating-in-agriculture-derivatives-trading/" TargetMode="External"/><Relationship Id="rId883" Type="http://schemas.openxmlformats.org/officeDocument/2006/relationships/hyperlink" Target="https://www.microsave.net/author/md-farista-andalib/"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author/jenifer-rose-shapiro/"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2023/11/27/not-all-youth-are-alike-unveiling-diverse-personas-of-indonesian-youth-in-the-digital-landscape/" TargetMode="External"/><Relationship Id="rId950" Type="http://schemas.openxmlformats.org/officeDocument/2006/relationships/hyperlink" Target="https://www.microsave.net/author/judith-mwangoe/"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author/aanchal-aggarwal/" TargetMode="External"/><Relationship Id="rId687" Type="http://schemas.openxmlformats.org/officeDocument/2006/relationships/hyperlink" Target="https://www.microsave.net/author/arshi-aadil/" TargetMode="External"/><Relationship Id="rId810" Type="http://schemas.openxmlformats.org/officeDocument/2006/relationships/hyperlink" Target="https://www.microsave.net/2024/03/07/community-of-practice-creation-of-local-knowledge-networks-through-innovative-tech-solutions-to-support-women-led-businesses-expansion/" TargetMode="External"/><Relationship Id="rId908" Type="http://schemas.openxmlformats.org/officeDocument/2006/relationships/hyperlink" Target="https://www.microsave.net/author/ayushi-misra/"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2024/12/03/how-to-fight-fraud-against-government-program-beneficiaries-in-india/"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2022/03/09/managing-public-expenditure-needs-a-digital-boost/" TargetMode="External"/><Relationship Id="rId754" Type="http://schemas.openxmlformats.org/officeDocument/2006/relationships/hyperlink" Target="https://www.microsave.net/2014/02/14/the-mor-committee-giving-credit-where-credit-is-due-part-i-the-role-of-non-bank-financial-companies-nbfcs/" TargetMode="External"/><Relationship Id="rId961" Type="http://schemas.openxmlformats.org/officeDocument/2006/relationships/hyperlink" Target="https://www.microsave.net/2025/07/17/a-call-for-inclusive-sustainable-growth-to-unlock-the-potential-of-kenyas-fisheries-sector/"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2021/02/23/the-covid-19-paradox-what-made-a-small-corner-shop-in-uganda-which-was-allowed-to-operate-during-the-pandemic-close-down/" TargetMode="External"/><Relationship Id="rId614" Type="http://schemas.openxmlformats.org/officeDocument/2006/relationships/hyperlink" Target="https://www.microsave.net/2022/09/27/women-at-the-heart-of-g2p-initiatives-the-primary-education-stipends-program-in-bangladesh/" TargetMode="External"/><Relationship Id="rId821" Type="http://schemas.openxmlformats.org/officeDocument/2006/relationships/hyperlink" Target="https://www.microsave.net/author/rasika-chopra/"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author/amit-joshi/" TargetMode="External"/><Relationship Id="rId698" Type="http://schemas.openxmlformats.org/officeDocument/2006/relationships/hyperlink" Target="https://www.microsave.net/2023/07/11/kaarigar-mandi-preserving-indias-traditional-handmade-footwear/" TargetMode="External"/><Relationship Id="rId919" Type="http://schemas.openxmlformats.org/officeDocument/2006/relationships/hyperlink" Target="https://www.microsave.net/2025/03/27/from-food-security-towards-nutrition-security-the-crucial-role-of-the-rice-fortification-initiative-of-the-government-of-indi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author/akhand-jyoti-tiwari/" TargetMode="External"/><Relationship Id="rId765" Type="http://schemas.openxmlformats.org/officeDocument/2006/relationships/hyperlink" Target="https://www.microsave.net/author/adama-diaby/" TargetMode="External"/><Relationship Id="rId972" Type="http://schemas.openxmlformats.org/officeDocument/2006/relationships/hyperlink" Target="https://www.microsave.net/2025/09/12/can-design-reforms-improve-the-adoption-of-the-soil-health-card-among-indias-farmers/"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www.microsave.net/author/thomas-murayi/" TargetMode="External"/><Relationship Id="rId625" Type="http://schemas.openxmlformats.org/officeDocument/2006/relationships/hyperlink" Target="https://bit.ly/3X3uoL3" TargetMode="External"/><Relationship Id="rId832" Type="http://schemas.openxmlformats.org/officeDocument/2006/relationships/hyperlink" Target="https://www.microsave.net/2024/05/10/from-rural-roots-to-digital-stars-womens-journey-to-building-e-commerce-confidence/"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2021/08/16/fundfina-a-journey-to-tap-a-hidden-multi-million-msme-market-in-india/"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3/opportunity-knocks-on-every-phone-through-the-power-of-digital-lending/" TargetMode="External"/><Relationship Id="rId776" Type="http://schemas.openxmlformats.org/officeDocument/2006/relationships/hyperlink" Target="https://www.microsave.net/2023/12/29/top-msc-blogs-of-2023/" TargetMode="External"/><Relationship Id="rId983" Type="http://schemas.openxmlformats.org/officeDocument/2006/relationships/hyperlink" Target="https://www.microsave.net/2025/10/29/driving-womens-empowerment-and-the-economy-one-chat-at-a-time/"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bit.ly/3hvK0p3" TargetMode="External"/><Relationship Id="rId636" Type="http://schemas.openxmlformats.org/officeDocument/2006/relationships/hyperlink" Target="https://www.microsave.net/author/surbhi-sood/" TargetMode="External"/><Relationship Id="rId843" Type="http://schemas.openxmlformats.org/officeDocument/2006/relationships/hyperlink" Target="https://www.microsave.net/author/neha-bhakar/"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author/aakash-mehrotra/" TargetMode="External"/><Relationship Id="rId703" Type="http://schemas.openxmlformats.org/officeDocument/2006/relationships/hyperlink" Target="https://www.microsave.net/author/shewta-menon/" TargetMode="External"/><Relationship Id="rId910" Type="http://schemas.openxmlformats.org/officeDocument/2006/relationships/hyperlink" Target="https://www.microsave.net/2025/03/13/can-bangladesh-close-the-credit-gap-of-microenterprises-through-digital-platforms/"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graham-a-n-wright/" TargetMode="External"/><Relationship Id="rId994" Type="http://schemas.openxmlformats.org/officeDocument/2006/relationships/hyperlink" Target="https://www.microsave.net/2025/12/31/why-school-sanitation-in-odisha-deserves-our-urgent-attention/"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2023/01/17/unpacking-the-ground-realities-what-are-we-beginning-to-learn-about-women-owned-businesses-in-bangladesh/" TargetMode="External"/><Relationship Id="rId854" Type="http://schemas.openxmlformats.org/officeDocument/2006/relationships/hyperlink" Target="https://www.microsave.net/author/mayank-sharma/"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bit.ly/3naUWcH" TargetMode="External"/><Relationship Id="rId507" Type="http://schemas.openxmlformats.org/officeDocument/2006/relationships/hyperlink" Target="https://www.microsave.net/2021/10/25/a2i-uncdf-and-msc-launch-finlab-bd-to-help-the-poor-in-bangladesh/" TargetMode="External"/><Relationship Id="rId714" Type="http://schemas.openxmlformats.org/officeDocument/2006/relationships/hyperlink" Target="https://www.microsave.net/2023/08/23/decoding-indias-digital-personal-data-protection-act/" TargetMode="External"/><Relationship Id="rId921" Type="http://schemas.openxmlformats.org/officeDocument/2006/relationships/hyperlink" Target="https://www.microsave.net/2025/04/02/delivering-finance-better-in-a-humanitarian-relief-operation-lessons-learned-from-the-somali-region-of-ethiopia/"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author/akhand-jyoti-tiwari/" TargetMode="External"/><Relationship Id="rId798" Type="http://schemas.openxmlformats.org/officeDocument/2006/relationships/hyperlink" Target="https://www.microsave.net/2024/02/19/engendering-digital-connectivity-is-womens-exclusion-in-design-the-missing-piece-to-gender-digital-inclusion-part-1/"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author/kushagra-harshavardhan/" TargetMode="External"/><Relationship Id="rId658" Type="http://schemas.openxmlformats.org/officeDocument/2006/relationships/hyperlink" Target="https://www.microsave.net/author/partha-ghosh/" TargetMode="External"/><Relationship Id="rId865" Type="http://schemas.openxmlformats.org/officeDocument/2006/relationships/hyperlink" Target="https://www.microsave.net/author/sonal-jaitly/"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author/akhand-jyoti-tiwari/" TargetMode="External"/><Relationship Id="rId725" Type="http://schemas.openxmlformats.org/officeDocument/2006/relationships/hyperlink" Target="https://www.microsave.net/author/manali-jain/" TargetMode="External"/><Relationship Id="rId932" Type="http://schemas.openxmlformats.org/officeDocument/2006/relationships/hyperlink" Target="https://www.microsave.net/2025/04/23/galvanizing-climate-resilience-through-locally-led-adaptation-lessons-from-indias-most-vulnerable-communities/"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1008" Type="http://schemas.openxmlformats.org/officeDocument/2006/relationships/hyperlink" Target="https://www.microsave.net/2021/09/25/facilitating-cottage-micro-small-and-medium-enterprises-during-the-pandemic/"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2022/06/07/the-revolution-must-be-digitalized/" TargetMode="External"/><Relationship Id="rId669" Type="http://schemas.openxmlformats.org/officeDocument/2006/relationships/hyperlink" Target="https://www.microsave.net/author/putu-monica-christy/" TargetMode="External"/><Relationship Id="rId876" Type="http://schemas.openxmlformats.org/officeDocument/2006/relationships/hyperlink" Target="https://www.microsave.net/2024/10/15/five-recommendations-to-address-insurance-mis-selling-rural-customers-in-india-face-information-asymmetry-high-premiums-and-poor-returns/"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bit.ly/2Rhj4ys" TargetMode="External"/><Relationship Id="rId529" Type="http://schemas.openxmlformats.org/officeDocument/2006/relationships/hyperlink" Target="https://www.microsave.net/2022/02/03/the-ujjwala-scheme-needs-a-budget-push/" TargetMode="External"/><Relationship Id="rId736" Type="http://schemas.openxmlformats.org/officeDocument/2006/relationships/hyperlink" Target="https://www.microsave.net/author/tvs-ravi-kumar/"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6/25/womens-financial-literacy-what-is-key-to-meaningful-financial-inclusion/" TargetMode="External"/><Relationship Id="rId1019" Type="http://schemas.openxmlformats.org/officeDocument/2006/relationships/hyperlink" Target="https://www.microsave.net/2026/05/25/digital-financial-inclusion-in-rwanda-successes-usage-gaps-and-the-next-priorities/"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author/manali-jain/" TargetMode="External"/><Relationship Id="rId803" Type="http://schemas.openxmlformats.org/officeDocument/2006/relationships/hyperlink" Target="https://www.microsave.net/author/akhand-jyoti-tiwari/"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www.microsave.net/author/graham-a-n-wright/" TargetMode="External"/><Relationship Id="rId887" Type="http://schemas.openxmlformats.org/officeDocument/2006/relationships/hyperlink" Target="https://www.microsave.net/author/akhand-jyoti-tiwari/"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shalom-mbugua/" TargetMode="External"/><Relationship Id="rId954" Type="http://schemas.openxmlformats.org/officeDocument/2006/relationships/hyperlink" Target="https://www.microsave.net/author/njeri-macharia/"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93" Type="http://schemas.openxmlformats.org/officeDocument/2006/relationships/hyperlink" Target="https://www.microsave.net/author/devraj-hom-roy/" TargetMode="External"/><Relationship Id="rId607" Type="http://schemas.openxmlformats.org/officeDocument/2006/relationships/hyperlink" Target="https://www.microsave.net/author/disha-bhavnani/" TargetMode="External"/><Relationship Id="rId814" Type="http://schemas.openxmlformats.org/officeDocument/2006/relationships/hyperlink" Target="https://www.microsave.net/2024/03/22/digital-gender-equality-strives-to-connect-half-the-world-to-the-internet/" TargetMode="External"/><Relationship Id="rId246" Type="http://schemas.openxmlformats.org/officeDocument/2006/relationships/hyperlink" Target="https://www.microsave.net/2020/04/13/survival-tips-for-start-ups-taking-a-leaf-out-of-bear-grylls-book/" TargetMode="External"/><Relationship Id="rId453" Type="http://schemas.openxmlformats.org/officeDocument/2006/relationships/hyperlink" Target="https://bit.ly/3ysAmIU" TargetMode="External"/><Relationship Id="rId660" Type="http://schemas.openxmlformats.org/officeDocument/2006/relationships/hyperlink" Target="https://www.microsave.net/author/graham-a-n-wright/" TargetMode="External"/><Relationship Id="rId898" Type="http://schemas.openxmlformats.org/officeDocument/2006/relationships/hyperlink" Target="https://www.microsave.net/2025/02/13/from-surviving-to-thriving-how-stakeholders-can-meet-the-unmet-needs-of-bangladeshs-women-entrepreneurs/"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758" Type="http://schemas.openxmlformats.org/officeDocument/2006/relationships/hyperlink" Target="https://www.microsave.net/2016/04/04/predictions-for-regulators-of-digital-financial-services/" TargetMode="External"/><Relationship Id="rId965" Type="http://schemas.openxmlformats.org/officeDocument/2006/relationships/hyperlink" Target="https://www.microsave.net/2025/07/24/turning-the-tide-how-indias-sachet-system-is-reshaping-disaster-preparedness/" TargetMode="External"/><Relationship Id="rId10" Type="http://schemas.openxmlformats.org/officeDocument/2006/relationships/hyperlink" Target="https://www.microsave.net/2013/06/24/understanding-complex-human-financial-behaviour-alternative-approaches/" TargetMode="External"/><Relationship Id="rId94" Type="http://schemas.openxmlformats.org/officeDocument/2006/relationships/hyperlink" Target="http://blog.microsave.net/agriculture-finance-isnt-as-risky/" TargetMode="External"/><Relationship Id="rId397" Type="http://schemas.openxmlformats.org/officeDocument/2006/relationships/hyperlink" Target="https://bit.ly/3pMsJZO" TargetMode="External"/><Relationship Id="rId520" Type="http://schemas.openxmlformats.org/officeDocument/2006/relationships/hyperlink" Target="https://www.microsave.net/author/anik-muntasir-chowdhury/" TargetMode="External"/><Relationship Id="rId618" Type="http://schemas.openxmlformats.org/officeDocument/2006/relationships/hyperlink" Target="https://www.microsave.net/2022/09/28/the-evolution-of-payments-in-india-the-state-of-play/" TargetMode="External"/><Relationship Id="rId825" Type="http://schemas.openxmlformats.org/officeDocument/2006/relationships/hyperlink" Target="https://www.microsave.net/author/tvs-ravi-kumar/"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vmlDrawing" Target="../drawings/vmlDrawing2.v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54" Type="http://schemas.openxmlformats.org/officeDocument/2006/relationships/hyperlink" Target="http://www.microsave.net/resource/bkash_in_bangladesh_and_mobile_wallet"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hyperlink" Target="https://www.microsave.net/2025/08/26/microfinance-for-climate-resilience-voices-from-the-field/" TargetMode="Externa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389" Type="http://schemas.openxmlformats.org/officeDocument/2006/relationships/comments" Target="../comments2.xm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 Id="rId68" Type="http://schemas.openxmlformats.org/officeDocument/2006/relationships/hyperlink" Target="http://www.microsave.net/resource/the_drivers_and_challenges_of_rapid_growth" TargetMode="External"/><Relationship Id="rId133" Type="http://schemas.openxmlformats.org/officeDocument/2006/relationships/hyperlink" Target="http://www.microsave.net/resource/microfinance_in_a_dynamic_market_financiera_crear_peru_part_2"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39" Type="http://schemas.openxmlformats.org/officeDocument/2006/relationships/hyperlink" Target="https://www.microsave.net/2026/03/06/empowering-africas-blue-economy-fish-production-and-sustainable-fisheries-in-africa/"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3/26/the-role-cico-agents-play-in-ethiopias-social-payments/" TargetMode="External"/><Relationship Id="rId7" Type="http://schemas.openxmlformats.org/officeDocument/2006/relationships/hyperlink" Target="https://www.microsave.net/2022/05/16/episode-10-from-a-digital-lender-to-a-microfinance-bank-what-does-this-mean-for-mfis-in-africa/"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41" Type="http://schemas.openxmlformats.org/officeDocument/2006/relationships/hyperlink" Target="https://www.microsave.net/2026/05/27/going-beyond-borders-digital-finance-as-a-catalyst-for-financial-inclusion/"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9/19/financing-growth-in-tough-times-climate-resilience-for-msmes-in-kenya/" TargetMode="External"/><Relationship Id="rId40" Type="http://schemas.openxmlformats.org/officeDocument/2006/relationships/hyperlink" Target="https://www.microsave.net/2026/03/06/empowering-africas-blue-economy-fish-production-and-sustainable-fisheries-in-africa/"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6/20/youth-focused-agri-fina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5/20/how-can-insurance-transform-how-communities-build-climate-resilience/"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38" Type="http://schemas.openxmlformats.org/officeDocument/2006/relationships/hyperlink" Target="https://www.microsave.net/2025/10/16/enhancing-financial-inclusion-for-forcibly-displaced-persons-fdps-to-foster-resilience-and-stability/"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29" Type="http://schemas.openxmlformats.org/officeDocument/2006/relationships/hyperlink" Target="https://www.microsave.net/author/mayank-sharma/"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28" Type="http://schemas.openxmlformats.org/officeDocument/2006/relationships/hyperlink" Target="https://www.microsave.net/2026/03/12/bridging-the-digital-divide-for-low-income-entrepreneurs-in-bangladesh/"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 Id="rId27" Type="http://schemas.openxmlformats.org/officeDocument/2006/relationships/hyperlink" Target="https://www.microsave.net/2025/10/27/strengthening-womens-financial-inclusion-indonesias-policy-note-for-the-g20-empowerment-of-women-working-group-ewwg/"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3.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3.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181" Type="http://schemas.openxmlformats.org/officeDocument/2006/relationships/printerSettings" Target="../printerSettings/printerSettings4.bin"/><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178" Type="http://schemas.openxmlformats.org/officeDocument/2006/relationships/hyperlink" Target="https://www.microsave.net/2021/04/09/are-pensions-reaching-the-last-mile-insights-into-the-digitization-of-payments-part-ii/"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79" Type="http://schemas.openxmlformats.org/officeDocument/2006/relationships/hyperlink" Target="https://www.microsave.net/2021/08/05/social-assistance-and-information-in-the-initial-phase-of-the-covid-19-crisis-lessons-from-a-household-survey-in-ind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180" Type="http://schemas.openxmlformats.org/officeDocument/2006/relationships/hyperlink" Target="https://www.microsave.net/2021/11/23/a-framework-to-design-user-centric-social-protection-programs/"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Y986"/>
  <sheetViews>
    <sheetView zoomScale="91" zoomScaleNormal="91" workbookViewId="0">
      <pane ySplit="1" topLeftCell="A442" activePane="bottomLeft" state="frozen"/>
      <selection pane="bottomLeft" activeCell="B449" sqref="B449"/>
    </sheetView>
  </sheetViews>
  <sheetFormatPr defaultColWidth="84" defaultRowHeight="14.4"/>
  <cols>
    <col min="1" max="1" width="6.88671875" style="19" customWidth="1"/>
    <col min="2" max="2" width="111.109375" style="19" customWidth="1"/>
    <col min="3" max="3" width="15.44140625" style="101" customWidth="1"/>
    <col min="4" max="4" width="87.21875" style="19" customWidth="1"/>
    <col min="5" max="5" width="75.33203125" style="19" customWidth="1"/>
    <col min="6" max="16384" width="84" style="19"/>
  </cols>
  <sheetData>
    <row r="1" spans="1:25" s="475" customFormat="1" ht="28.8">
      <c r="A1" s="470" t="s">
        <v>0</v>
      </c>
      <c r="B1" s="470" t="s">
        <v>1</v>
      </c>
      <c r="C1" s="471" t="s">
        <v>2</v>
      </c>
      <c r="D1" s="470" t="s">
        <v>3</v>
      </c>
      <c r="E1" s="470" t="s">
        <v>4</v>
      </c>
      <c r="F1" s="472"/>
      <c r="G1" s="473"/>
      <c r="H1" s="473"/>
      <c r="I1" s="473"/>
      <c r="J1" s="473"/>
      <c r="K1" s="473"/>
      <c r="L1" s="473"/>
      <c r="M1" s="473"/>
      <c r="N1" s="473"/>
      <c r="O1" s="473"/>
      <c r="P1" s="473"/>
      <c r="Q1" s="473"/>
      <c r="R1" s="473"/>
      <c r="S1" s="473"/>
      <c r="T1" s="473"/>
      <c r="U1" s="473"/>
      <c r="V1" s="473"/>
      <c r="W1" s="474"/>
      <c r="X1" s="474"/>
      <c r="Y1" s="474"/>
    </row>
    <row r="2" spans="1:25" ht="158.4">
      <c r="A2" s="221">
        <v>1</v>
      </c>
      <c r="B2" s="32" t="s">
        <v>5</v>
      </c>
      <c r="C2" s="234">
        <v>35436</v>
      </c>
      <c r="D2" s="221" t="s">
        <v>6</v>
      </c>
      <c r="E2" s="221" t="s">
        <v>7</v>
      </c>
      <c r="F2" s="199"/>
      <c r="G2" s="14"/>
      <c r="H2" s="14"/>
      <c r="I2" s="14"/>
      <c r="J2" s="14"/>
      <c r="K2" s="14"/>
      <c r="L2" s="14"/>
      <c r="M2" s="14"/>
      <c r="N2" s="14"/>
      <c r="O2" s="14"/>
      <c r="P2" s="14"/>
      <c r="Q2" s="14"/>
      <c r="R2" s="14"/>
      <c r="S2" s="14"/>
      <c r="T2" s="14"/>
      <c r="U2" s="14"/>
      <c r="V2" s="14"/>
      <c r="W2" s="14"/>
      <c r="X2" s="14"/>
      <c r="Y2" s="14"/>
    </row>
    <row r="3" spans="1:25" ht="159.6" customHeight="1">
      <c r="A3" s="221">
        <v>2</v>
      </c>
      <c r="B3" s="32" t="s">
        <v>8</v>
      </c>
      <c r="C3" s="234">
        <v>35436</v>
      </c>
      <c r="D3" s="221" t="s">
        <v>9</v>
      </c>
      <c r="E3" s="221" t="s">
        <v>7</v>
      </c>
      <c r="F3" s="199"/>
      <c r="G3" s="14"/>
      <c r="H3" s="14"/>
      <c r="I3" s="14"/>
      <c r="J3" s="14"/>
      <c r="K3" s="14"/>
      <c r="L3" s="14"/>
      <c r="M3" s="14"/>
      <c r="N3" s="14"/>
      <c r="O3" s="14"/>
      <c r="P3" s="14"/>
      <c r="Q3" s="14"/>
      <c r="R3" s="14"/>
      <c r="S3" s="14"/>
      <c r="T3" s="14"/>
      <c r="U3" s="14"/>
      <c r="V3" s="14"/>
      <c r="W3" s="14"/>
      <c r="X3" s="14"/>
      <c r="Y3" s="14"/>
    </row>
    <row r="4" spans="1:25" ht="216">
      <c r="A4" s="221">
        <v>3</v>
      </c>
      <c r="B4" s="32" t="s">
        <v>10</v>
      </c>
      <c r="C4" s="234">
        <v>35436</v>
      </c>
      <c r="D4" s="221" t="s">
        <v>11</v>
      </c>
      <c r="E4" s="221" t="s">
        <v>7</v>
      </c>
      <c r="F4" s="199"/>
      <c r="G4" s="14"/>
      <c r="H4" s="14"/>
      <c r="I4" s="14"/>
      <c r="J4" s="14"/>
      <c r="K4" s="14"/>
      <c r="L4" s="14"/>
      <c r="M4" s="14"/>
      <c r="N4" s="14"/>
      <c r="O4" s="14"/>
      <c r="P4" s="14"/>
      <c r="Q4" s="14"/>
      <c r="R4" s="14"/>
      <c r="S4" s="14"/>
      <c r="T4" s="14"/>
      <c r="U4" s="14"/>
      <c r="V4" s="14"/>
      <c r="W4" s="14"/>
      <c r="X4" s="14"/>
      <c r="Y4" s="14"/>
    </row>
    <row r="5" spans="1:25" ht="158.4">
      <c r="A5" s="221">
        <v>4</v>
      </c>
      <c r="B5" s="32" t="s">
        <v>12</v>
      </c>
      <c r="C5" s="234">
        <v>35437</v>
      </c>
      <c r="D5" s="221" t="s">
        <v>13</v>
      </c>
      <c r="E5" s="221" t="s">
        <v>14</v>
      </c>
      <c r="F5" s="199"/>
      <c r="G5" s="14"/>
      <c r="H5" s="14"/>
      <c r="I5" s="14"/>
      <c r="J5" s="14"/>
      <c r="K5" s="14"/>
      <c r="L5" s="14"/>
      <c r="M5" s="14"/>
      <c r="N5" s="14"/>
      <c r="O5" s="14"/>
      <c r="P5" s="14"/>
      <c r="Q5" s="14"/>
      <c r="R5" s="14"/>
      <c r="S5" s="14"/>
      <c r="T5" s="14"/>
      <c r="U5" s="14"/>
      <c r="V5" s="14"/>
      <c r="W5" s="14"/>
      <c r="X5" s="14"/>
      <c r="Y5" s="14"/>
    </row>
    <row r="6" spans="1:25" ht="158.4">
      <c r="A6" s="221">
        <v>5</v>
      </c>
      <c r="B6" s="32" t="s">
        <v>15</v>
      </c>
      <c r="C6" s="234">
        <v>35439</v>
      </c>
      <c r="D6" s="221" t="s">
        <v>16</v>
      </c>
      <c r="E6" s="221" t="s">
        <v>7</v>
      </c>
      <c r="F6" s="199"/>
      <c r="G6" s="14"/>
      <c r="H6" s="14"/>
      <c r="I6" s="14"/>
      <c r="J6" s="14"/>
      <c r="K6" s="14"/>
      <c r="L6" s="14"/>
      <c r="M6" s="14"/>
      <c r="N6" s="14"/>
      <c r="O6" s="14"/>
      <c r="P6" s="14"/>
      <c r="Q6" s="14"/>
      <c r="R6" s="14"/>
      <c r="S6" s="14"/>
      <c r="T6" s="14"/>
      <c r="U6" s="14"/>
      <c r="V6" s="14"/>
      <c r="W6" s="14"/>
      <c r="X6" s="14"/>
      <c r="Y6" s="14"/>
    </row>
    <row r="7" spans="1:25" ht="129.6">
      <c r="A7" s="221">
        <v>6</v>
      </c>
      <c r="B7" s="32" t="s">
        <v>17</v>
      </c>
      <c r="C7" s="234">
        <v>35803</v>
      </c>
      <c r="D7" s="221" t="s">
        <v>18</v>
      </c>
      <c r="E7" s="221" t="s">
        <v>4886</v>
      </c>
      <c r="F7" s="199"/>
      <c r="G7" s="14"/>
      <c r="H7" s="14"/>
      <c r="I7" s="14"/>
      <c r="J7" s="14"/>
      <c r="K7" s="14"/>
      <c r="L7" s="14"/>
      <c r="M7" s="14"/>
      <c r="N7" s="14"/>
      <c r="O7" s="14"/>
      <c r="P7" s="14"/>
      <c r="Q7" s="14"/>
      <c r="R7" s="14"/>
      <c r="S7" s="14"/>
      <c r="T7" s="14"/>
      <c r="U7" s="14"/>
      <c r="V7" s="14"/>
      <c r="W7" s="14"/>
      <c r="X7" s="14"/>
      <c r="Y7" s="14"/>
    </row>
    <row r="8" spans="1:25" ht="28.8">
      <c r="A8" s="221">
        <v>7</v>
      </c>
      <c r="B8" s="32" t="s">
        <v>19</v>
      </c>
      <c r="C8" s="234">
        <v>36163</v>
      </c>
      <c r="D8" s="221" t="s">
        <v>20</v>
      </c>
      <c r="E8" s="221" t="s">
        <v>21</v>
      </c>
      <c r="F8" s="199"/>
      <c r="G8" s="14"/>
      <c r="H8" s="14"/>
      <c r="I8" s="14"/>
      <c r="J8" s="14"/>
      <c r="K8" s="14"/>
      <c r="L8" s="14"/>
      <c r="M8" s="14"/>
      <c r="N8" s="14"/>
      <c r="O8" s="14"/>
      <c r="P8" s="14"/>
      <c r="Q8" s="14"/>
      <c r="R8" s="14"/>
      <c r="S8" s="14"/>
      <c r="T8" s="14"/>
      <c r="U8" s="14"/>
      <c r="V8" s="14"/>
      <c r="W8" s="14"/>
      <c r="X8" s="14"/>
      <c r="Y8" s="14"/>
    </row>
    <row r="9" spans="1:25" ht="201.6">
      <c r="A9" s="221">
        <v>8</v>
      </c>
      <c r="B9" s="32" t="s">
        <v>22</v>
      </c>
      <c r="C9" s="234">
        <v>36163</v>
      </c>
      <c r="D9" s="221" t="s">
        <v>23</v>
      </c>
      <c r="E9" s="221" t="s">
        <v>7</v>
      </c>
      <c r="F9" s="199"/>
      <c r="G9" s="14"/>
      <c r="H9" s="14"/>
      <c r="I9" s="14"/>
      <c r="J9" s="14"/>
      <c r="K9" s="14"/>
      <c r="L9" s="14"/>
      <c r="M9" s="14"/>
      <c r="N9" s="14"/>
      <c r="O9" s="14"/>
      <c r="P9" s="14"/>
      <c r="Q9" s="14"/>
      <c r="R9" s="14"/>
      <c r="S9" s="14"/>
      <c r="T9" s="14"/>
      <c r="U9" s="14"/>
      <c r="V9" s="14"/>
      <c r="W9" s="14"/>
      <c r="X9" s="14"/>
      <c r="Y9" s="14"/>
    </row>
    <row r="10" spans="1:25" ht="72">
      <c r="A10" s="221">
        <v>9</v>
      </c>
      <c r="B10" s="32" t="s">
        <v>24</v>
      </c>
      <c r="C10" s="234">
        <v>36165</v>
      </c>
      <c r="D10" s="221" t="s">
        <v>25</v>
      </c>
      <c r="E10" s="221" t="s">
        <v>21</v>
      </c>
      <c r="F10" s="199"/>
      <c r="G10" s="14"/>
      <c r="H10" s="14"/>
      <c r="I10" s="14"/>
      <c r="J10" s="14"/>
      <c r="K10" s="14"/>
      <c r="L10" s="14"/>
      <c r="M10" s="14"/>
      <c r="N10" s="14"/>
      <c r="O10" s="14"/>
      <c r="P10" s="14"/>
      <c r="Q10" s="14"/>
      <c r="R10" s="14"/>
      <c r="S10" s="14"/>
      <c r="T10" s="14"/>
      <c r="U10" s="14"/>
      <c r="V10" s="14"/>
      <c r="W10" s="14"/>
      <c r="X10" s="14"/>
      <c r="Y10" s="14"/>
    </row>
    <row r="11" spans="1:25" ht="115.2">
      <c r="A11" s="221">
        <v>10</v>
      </c>
      <c r="B11" s="32" t="s">
        <v>26</v>
      </c>
      <c r="C11" s="234">
        <v>36165</v>
      </c>
      <c r="D11" s="221" t="s">
        <v>27</v>
      </c>
      <c r="E11" s="221" t="s">
        <v>28</v>
      </c>
      <c r="F11" s="199"/>
      <c r="G11" s="14"/>
      <c r="H11" s="14"/>
      <c r="I11" s="14"/>
      <c r="J11" s="14"/>
      <c r="K11" s="14"/>
      <c r="L11" s="14"/>
      <c r="M11" s="14"/>
      <c r="N11" s="14"/>
      <c r="O11" s="14"/>
      <c r="P11" s="14"/>
      <c r="Q11" s="14"/>
      <c r="R11" s="14"/>
      <c r="S11" s="14"/>
      <c r="T11" s="14"/>
      <c r="U11" s="14"/>
      <c r="V11" s="14"/>
      <c r="W11" s="14"/>
      <c r="X11" s="14"/>
      <c r="Y11" s="14"/>
    </row>
    <row r="12" spans="1:25" ht="115.2">
      <c r="A12" s="221">
        <v>11</v>
      </c>
      <c r="B12" s="32" t="s">
        <v>29</v>
      </c>
      <c r="C12" s="234">
        <v>36165</v>
      </c>
      <c r="D12" s="221" t="s">
        <v>30</v>
      </c>
      <c r="E12" s="221" t="s">
        <v>31</v>
      </c>
      <c r="F12" s="199"/>
      <c r="G12" s="14"/>
      <c r="H12" s="14"/>
      <c r="I12" s="14"/>
      <c r="J12" s="14"/>
      <c r="K12" s="14"/>
      <c r="L12" s="14"/>
      <c r="M12" s="14"/>
      <c r="N12" s="14"/>
      <c r="O12" s="14"/>
      <c r="P12" s="14"/>
      <c r="Q12" s="14"/>
      <c r="R12" s="14"/>
      <c r="S12" s="14"/>
      <c r="T12" s="14"/>
      <c r="U12" s="14"/>
      <c r="V12" s="14"/>
      <c r="W12" s="14"/>
      <c r="X12" s="14"/>
      <c r="Y12" s="14"/>
    </row>
    <row r="13" spans="1:25" ht="72">
      <c r="A13" s="221">
        <v>12</v>
      </c>
      <c r="B13" s="32" t="s">
        <v>32</v>
      </c>
      <c r="C13" s="234">
        <v>36166</v>
      </c>
      <c r="D13" s="221" t="s">
        <v>33</v>
      </c>
      <c r="E13" s="221" t="s">
        <v>21</v>
      </c>
      <c r="F13" s="199"/>
      <c r="G13" s="14"/>
      <c r="H13" s="14"/>
      <c r="I13" s="14"/>
      <c r="J13" s="14"/>
      <c r="K13" s="14"/>
      <c r="L13" s="14"/>
      <c r="M13" s="14"/>
      <c r="N13" s="14"/>
      <c r="O13" s="14"/>
      <c r="P13" s="14"/>
      <c r="Q13" s="14"/>
      <c r="R13" s="14"/>
      <c r="S13" s="14"/>
      <c r="T13" s="14"/>
      <c r="U13" s="14"/>
      <c r="V13" s="14"/>
      <c r="W13" s="14"/>
      <c r="X13" s="14"/>
      <c r="Y13" s="14"/>
    </row>
    <row r="14" spans="1:25" ht="72">
      <c r="A14" s="221">
        <v>13</v>
      </c>
      <c r="B14" s="32" t="s">
        <v>34</v>
      </c>
      <c r="C14" s="234">
        <v>36166</v>
      </c>
      <c r="D14" s="221" t="s">
        <v>35</v>
      </c>
      <c r="E14" s="221" t="s">
        <v>36</v>
      </c>
      <c r="F14" s="199"/>
      <c r="G14" s="14"/>
      <c r="H14" s="14"/>
      <c r="I14" s="14"/>
      <c r="J14" s="14"/>
      <c r="K14" s="14"/>
      <c r="L14" s="14"/>
      <c r="M14" s="14"/>
      <c r="N14" s="14"/>
      <c r="O14" s="14"/>
      <c r="P14" s="14"/>
      <c r="Q14" s="14"/>
      <c r="R14" s="14"/>
      <c r="S14" s="14"/>
      <c r="T14" s="14"/>
      <c r="U14" s="14"/>
      <c r="V14" s="14"/>
      <c r="W14" s="14"/>
      <c r="X14" s="14"/>
      <c r="Y14" s="14"/>
    </row>
    <row r="15" spans="1:25" ht="201.6">
      <c r="A15" s="221">
        <v>14</v>
      </c>
      <c r="B15" s="32" t="s">
        <v>37</v>
      </c>
      <c r="C15" s="234">
        <v>36166</v>
      </c>
      <c r="D15" s="221" t="s">
        <v>38</v>
      </c>
      <c r="E15" s="221" t="s">
        <v>7</v>
      </c>
      <c r="F15" s="199"/>
      <c r="G15" s="14"/>
      <c r="H15" s="14"/>
      <c r="I15" s="14"/>
      <c r="J15" s="14"/>
      <c r="K15" s="14"/>
      <c r="L15" s="14"/>
      <c r="M15" s="14"/>
      <c r="N15" s="14"/>
      <c r="O15" s="14"/>
      <c r="P15" s="14"/>
      <c r="Q15" s="14"/>
      <c r="R15" s="14"/>
      <c r="S15" s="14"/>
      <c r="T15" s="14"/>
      <c r="U15" s="14"/>
      <c r="V15" s="14"/>
      <c r="W15" s="14"/>
      <c r="X15" s="14"/>
      <c r="Y15" s="14"/>
    </row>
    <row r="16" spans="1:25" ht="72">
      <c r="A16" s="221">
        <v>15</v>
      </c>
      <c r="B16" s="32" t="s">
        <v>39</v>
      </c>
      <c r="C16" s="234">
        <v>36137</v>
      </c>
      <c r="D16" s="221" t="s">
        <v>40</v>
      </c>
      <c r="E16" s="221" t="s">
        <v>41</v>
      </c>
      <c r="F16" s="199"/>
      <c r="G16" s="14"/>
      <c r="H16" s="14"/>
      <c r="I16" s="14"/>
      <c r="J16" s="14"/>
      <c r="K16" s="14"/>
      <c r="L16" s="14"/>
      <c r="M16" s="14"/>
      <c r="N16" s="14"/>
      <c r="O16" s="14"/>
      <c r="P16" s="14"/>
      <c r="Q16" s="14"/>
      <c r="R16" s="14"/>
      <c r="S16" s="14"/>
      <c r="T16" s="14"/>
      <c r="U16" s="14"/>
      <c r="V16" s="14"/>
      <c r="W16" s="14"/>
      <c r="X16" s="14"/>
      <c r="Y16" s="14"/>
    </row>
    <row r="17" spans="1:25" ht="115.2">
      <c r="A17" s="221">
        <v>16</v>
      </c>
      <c r="B17" s="32" t="s">
        <v>42</v>
      </c>
      <c r="C17" s="234">
        <v>36168</v>
      </c>
      <c r="D17" s="221" t="s">
        <v>43</v>
      </c>
      <c r="E17" s="221" t="s">
        <v>44</v>
      </c>
      <c r="F17" s="199"/>
      <c r="G17" s="14"/>
      <c r="H17" s="14"/>
      <c r="I17" s="14"/>
      <c r="J17" s="14"/>
      <c r="K17" s="14"/>
      <c r="L17" s="14"/>
      <c r="M17" s="14"/>
      <c r="N17" s="14"/>
      <c r="O17" s="14"/>
      <c r="P17" s="14"/>
      <c r="Q17" s="14"/>
      <c r="R17" s="14"/>
      <c r="S17" s="14"/>
      <c r="T17" s="14"/>
      <c r="U17" s="14"/>
      <c r="V17" s="14"/>
      <c r="W17" s="14"/>
      <c r="X17" s="14"/>
      <c r="Y17" s="14"/>
    </row>
    <row r="18" spans="1:25" ht="100.8">
      <c r="A18" s="221">
        <v>17</v>
      </c>
      <c r="B18" s="32" t="s">
        <v>45</v>
      </c>
      <c r="C18" s="234">
        <v>36395</v>
      </c>
      <c r="D18" s="221" t="s">
        <v>46</v>
      </c>
      <c r="E18" s="221" t="s">
        <v>47</v>
      </c>
      <c r="F18" s="199"/>
      <c r="G18" s="14"/>
      <c r="H18" s="14"/>
      <c r="I18" s="14"/>
      <c r="J18" s="14"/>
      <c r="K18" s="14"/>
      <c r="L18" s="14"/>
      <c r="M18" s="14"/>
      <c r="N18" s="14"/>
      <c r="O18" s="14"/>
      <c r="P18" s="14"/>
      <c r="Q18" s="14"/>
      <c r="R18" s="14"/>
      <c r="S18" s="14"/>
      <c r="T18" s="14"/>
      <c r="U18" s="14"/>
      <c r="V18" s="14"/>
      <c r="W18" s="14"/>
      <c r="X18" s="14"/>
      <c r="Y18" s="14"/>
    </row>
    <row r="19" spans="1:25" ht="259.2">
      <c r="A19" s="221">
        <v>18</v>
      </c>
      <c r="B19" s="32" t="s">
        <v>48</v>
      </c>
      <c r="C19" s="234">
        <v>36169</v>
      </c>
      <c r="D19" s="221" t="s">
        <v>49</v>
      </c>
      <c r="E19" s="221" t="s">
        <v>7</v>
      </c>
      <c r="F19" s="199"/>
      <c r="G19" s="14"/>
      <c r="H19" s="14"/>
      <c r="I19" s="14"/>
      <c r="J19" s="14"/>
      <c r="K19" s="14"/>
      <c r="L19" s="14"/>
      <c r="M19" s="14"/>
      <c r="N19" s="14"/>
      <c r="O19" s="14"/>
      <c r="P19" s="14"/>
      <c r="Q19" s="14"/>
      <c r="R19" s="14"/>
      <c r="S19" s="14"/>
      <c r="T19" s="14"/>
      <c r="U19" s="14"/>
      <c r="V19" s="14"/>
      <c r="W19" s="14"/>
      <c r="X19" s="14"/>
      <c r="Y19" s="14"/>
    </row>
    <row r="20" spans="1:25" ht="230.4">
      <c r="A20" s="221">
        <v>19</v>
      </c>
      <c r="B20" s="32" t="s">
        <v>50</v>
      </c>
      <c r="C20" s="234">
        <v>36169</v>
      </c>
      <c r="D20" s="221" t="s">
        <v>51</v>
      </c>
      <c r="E20" s="221" t="s">
        <v>52</v>
      </c>
      <c r="F20" s="199"/>
      <c r="G20" s="14"/>
      <c r="H20" s="14"/>
      <c r="I20" s="14"/>
      <c r="J20" s="14"/>
      <c r="K20" s="14"/>
      <c r="L20" s="14"/>
      <c r="M20" s="14"/>
      <c r="N20" s="14"/>
      <c r="O20" s="14"/>
      <c r="P20" s="14"/>
      <c r="Q20" s="14"/>
      <c r="R20" s="14"/>
      <c r="S20" s="14"/>
      <c r="T20" s="14"/>
      <c r="U20" s="14"/>
      <c r="V20" s="14"/>
      <c r="W20" s="14"/>
      <c r="X20" s="14"/>
      <c r="Y20" s="14"/>
    </row>
    <row r="21" spans="1:25" ht="86.4">
      <c r="A21" s="221">
        <v>20</v>
      </c>
      <c r="B21" s="32" t="s">
        <v>53</v>
      </c>
      <c r="C21" s="234">
        <v>36169</v>
      </c>
      <c r="D21" s="221" t="s">
        <v>54</v>
      </c>
      <c r="E21" s="221" t="s">
        <v>55</v>
      </c>
      <c r="F21" s="199"/>
      <c r="G21" s="14"/>
      <c r="H21" s="14"/>
      <c r="I21" s="14"/>
      <c r="J21" s="14"/>
      <c r="K21" s="14"/>
      <c r="L21" s="14"/>
      <c r="M21" s="14"/>
      <c r="N21" s="14"/>
      <c r="O21" s="14"/>
      <c r="P21" s="14"/>
      <c r="Q21" s="14"/>
      <c r="R21" s="14"/>
      <c r="S21" s="14"/>
      <c r="T21" s="14"/>
      <c r="U21" s="14"/>
      <c r="V21" s="14"/>
      <c r="W21" s="14"/>
      <c r="X21" s="14"/>
      <c r="Y21" s="14"/>
    </row>
    <row r="22" spans="1:25" ht="43.2">
      <c r="A22" s="221">
        <v>21</v>
      </c>
      <c r="B22" s="32" t="s">
        <v>56</v>
      </c>
      <c r="C22" s="234">
        <v>36478</v>
      </c>
      <c r="D22" s="221" t="s">
        <v>57</v>
      </c>
      <c r="E22" s="221" t="s">
        <v>7</v>
      </c>
      <c r="F22" s="199"/>
      <c r="G22" s="14"/>
      <c r="H22" s="14"/>
      <c r="I22" s="14"/>
      <c r="J22" s="14"/>
      <c r="K22" s="14"/>
      <c r="L22" s="14"/>
      <c r="M22" s="14"/>
      <c r="N22" s="14"/>
      <c r="O22" s="14"/>
      <c r="P22" s="14"/>
      <c r="Q22" s="14"/>
      <c r="R22" s="14"/>
      <c r="S22" s="14"/>
      <c r="T22" s="14"/>
      <c r="U22" s="14"/>
      <c r="V22" s="14"/>
      <c r="W22" s="14"/>
      <c r="X22" s="14"/>
      <c r="Y22" s="14"/>
    </row>
    <row r="23" spans="1:25" ht="187.2">
      <c r="A23" s="221">
        <v>22</v>
      </c>
      <c r="B23" s="32" t="s">
        <v>58</v>
      </c>
      <c r="C23" s="234">
        <f>DATE(2000,1,12)</f>
        <v>36537</v>
      </c>
      <c r="D23" s="221" t="s">
        <v>59</v>
      </c>
      <c r="E23" s="221" t="s">
        <v>7</v>
      </c>
      <c r="F23" s="199"/>
      <c r="G23" s="14"/>
      <c r="H23" s="14"/>
      <c r="I23" s="14"/>
      <c r="J23" s="14"/>
      <c r="K23" s="14"/>
      <c r="L23" s="14"/>
      <c r="M23" s="14"/>
      <c r="N23" s="14"/>
      <c r="O23" s="14"/>
      <c r="P23" s="14"/>
      <c r="Q23" s="14"/>
      <c r="R23" s="14"/>
      <c r="S23" s="14"/>
      <c r="T23" s="14"/>
      <c r="U23" s="14"/>
      <c r="V23" s="14"/>
      <c r="W23" s="14"/>
      <c r="X23" s="14"/>
      <c r="Y23" s="14"/>
    </row>
    <row r="24" spans="1:25" ht="129.6">
      <c r="A24" s="221">
        <v>23</v>
      </c>
      <c r="B24" s="32" t="s">
        <v>60</v>
      </c>
      <c r="C24" s="234">
        <v>36586</v>
      </c>
      <c r="D24" s="221" t="s">
        <v>61</v>
      </c>
      <c r="E24" s="221" t="s">
        <v>62</v>
      </c>
      <c r="F24" s="199"/>
      <c r="G24" s="14"/>
      <c r="H24" s="14"/>
      <c r="I24" s="14"/>
      <c r="J24" s="14"/>
      <c r="K24" s="14"/>
      <c r="L24" s="14"/>
      <c r="M24" s="14"/>
      <c r="N24" s="14"/>
      <c r="O24" s="14"/>
      <c r="P24" s="14"/>
      <c r="Q24" s="14"/>
      <c r="R24" s="14"/>
      <c r="S24" s="14"/>
      <c r="T24" s="14"/>
      <c r="U24" s="14"/>
      <c r="V24" s="14"/>
      <c r="W24" s="14"/>
      <c r="X24" s="14"/>
      <c r="Y24" s="14"/>
    </row>
    <row r="25" spans="1:25" ht="288">
      <c r="A25" s="221">
        <v>24</v>
      </c>
      <c r="B25" s="32" t="s">
        <v>63</v>
      </c>
      <c r="C25" s="234">
        <f>DATE(2000,4,1)</f>
        <v>36617</v>
      </c>
      <c r="D25" s="221" t="s">
        <v>64</v>
      </c>
      <c r="E25" s="221" t="s">
        <v>65</v>
      </c>
      <c r="F25" s="199"/>
      <c r="G25" s="14"/>
      <c r="H25" s="14"/>
      <c r="I25" s="14"/>
      <c r="J25" s="14"/>
      <c r="K25" s="14"/>
      <c r="L25" s="14"/>
      <c r="M25" s="14"/>
      <c r="N25" s="14"/>
      <c r="O25" s="14"/>
      <c r="P25" s="14"/>
      <c r="Q25" s="14"/>
      <c r="R25" s="14"/>
      <c r="S25" s="14"/>
      <c r="T25" s="14"/>
      <c r="U25" s="14"/>
      <c r="V25" s="14"/>
      <c r="W25" s="14"/>
      <c r="X25" s="14"/>
      <c r="Y25" s="14"/>
    </row>
    <row r="26" spans="1:25" ht="259.2">
      <c r="A26" s="221">
        <v>25</v>
      </c>
      <c r="B26" s="32" t="s">
        <v>66</v>
      </c>
      <c r="C26" s="234">
        <v>36647</v>
      </c>
      <c r="D26" s="221" t="s">
        <v>67</v>
      </c>
      <c r="E26" s="221" t="s">
        <v>68</v>
      </c>
      <c r="F26" s="199"/>
      <c r="G26" s="14"/>
      <c r="H26" s="14"/>
      <c r="I26" s="14"/>
      <c r="J26" s="14"/>
      <c r="K26" s="14"/>
      <c r="L26" s="14"/>
      <c r="M26" s="14"/>
      <c r="N26" s="14"/>
      <c r="O26" s="14"/>
      <c r="P26" s="14"/>
      <c r="Q26" s="14"/>
      <c r="R26" s="14"/>
      <c r="S26" s="14"/>
      <c r="T26" s="14"/>
      <c r="U26" s="14"/>
      <c r="V26" s="14"/>
      <c r="W26" s="14"/>
      <c r="X26" s="14"/>
      <c r="Y26" s="14"/>
    </row>
    <row r="27" spans="1:25" ht="158.4">
      <c r="A27" s="221">
        <v>26</v>
      </c>
      <c r="B27" s="32" t="s">
        <v>69</v>
      </c>
      <c r="C27" s="234">
        <v>36866</v>
      </c>
      <c r="D27" s="221" t="s">
        <v>70</v>
      </c>
      <c r="E27" s="221" t="s">
        <v>71</v>
      </c>
      <c r="F27" s="199"/>
      <c r="G27" s="14"/>
      <c r="H27" s="14"/>
      <c r="I27" s="14"/>
      <c r="J27" s="14"/>
      <c r="K27" s="14"/>
      <c r="L27" s="14"/>
      <c r="M27" s="14"/>
      <c r="N27" s="14"/>
      <c r="O27" s="14"/>
      <c r="P27" s="14"/>
      <c r="Q27" s="14"/>
      <c r="R27" s="14"/>
      <c r="S27" s="14"/>
      <c r="T27" s="14"/>
      <c r="U27" s="14"/>
      <c r="V27" s="14"/>
      <c r="W27" s="14"/>
      <c r="X27" s="14"/>
      <c r="Y27" s="14"/>
    </row>
    <row r="28" spans="1:25" ht="72">
      <c r="A28" s="221">
        <v>27</v>
      </c>
      <c r="B28" s="32" t="s">
        <v>72</v>
      </c>
      <c r="C28" s="234">
        <v>36866</v>
      </c>
      <c r="D28" s="221" t="s">
        <v>73</v>
      </c>
      <c r="E28" s="221" t="s">
        <v>74</v>
      </c>
      <c r="F28" s="199"/>
      <c r="G28" s="14"/>
      <c r="H28" s="14"/>
      <c r="I28" s="14"/>
      <c r="J28" s="14"/>
      <c r="K28" s="14"/>
      <c r="L28" s="14"/>
      <c r="M28" s="14"/>
      <c r="N28" s="14"/>
      <c r="O28" s="14"/>
      <c r="P28" s="14"/>
      <c r="Q28" s="14"/>
      <c r="R28" s="14"/>
      <c r="S28" s="14"/>
      <c r="T28" s="14"/>
      <c r="U28" s="14"/>
      <c r="V28" s="14"/>
      <c r="W28" s="14"/>
      <c r="X28" s="14"/>
      <c r="Y28" s="14"/>
    </row>
    <row r="29" spans="1:25" ht="158.4">
      <c r="A29" s="221">
        <v>28</v>
      </c>
      <c r="B29" s="32" t="s">
        <v>75</v>
      </c>
      <c r="C29" s="234">
        <v>36866</v>
      </c>
      <c r="D29" s="221" t="s">
        <v>76</v>
      </c>
      <c r="E29" s="221" t="s">
        <v>71</v>
      </c>
      <c r="F29" s="199"/>
      <c r="G29" s="14"/>
      <c r="H29" s="14"/>
      <c r="I29" s="14"/>
      <c r="J29" s="14"/>
      <c r="K29" s="14"/>
      <c r="L29" s="14"/>
      <c r="M29" s="14"/>
      <c r="N29" s="14"/>
      <c r="O29" s="14"/>
      <c r="P29" s="14"/>
      <c r="Q29" s="14"/>
      <c r="R29" s="14"/>
      <c r="S29" s="14"/>
      <c r="T29" s="14"/>
      <c r="U29" s="14"/>
      <c r="V29" s="14"/>
      <c r="W29" s="14"/>
      <c r="X29" s="14"/>
      <c r="Y29" s="14"/>
    </row>
    <row r="30" spans="1:25" ht="144">
      <c r="A30" s="221">
        <v>29</v>
      </c>
      <c r="B30" s="32" t="s">
        <v>77</v>
      </c>
      <c r="C30" s="234">
        <v>36866</v>
      </c>
      <c r="D30" s="221" t="s">
        <v>78</v>
      </c>
      <c r="E30" s="221" t="s">
        <v>79</v>
      </c>
      <c r="F30" s="199"/>
      <c r="G30" s="14"/>
      <c r="H30" s="14"/>
      <c r="I30" s="14"/>
      <c r="J30" s="14"/>
      <c r="K30" s="14"/>
      <c r="L30" s="14"/>
      <c r="M30" s="14"/>
      <c r="N30" s="14"/>
      <c r="O30" s="14"/>
      <c r="P30" s="14"/>
      <c r="Q30" s="14"/>
      <c r="R30" s="14"/>
      <c r="S30" s="14"/>
      <c r="T30" s="14"/>
      <c r="U30" s="14"/>
      <c r="V30" s="14"/>
      <c r="W30" s="14"/>
      <c r="X30" s="14"/>
      <c r="Y30" s="14"/>
    </row>
    <row r="31" spans="1:25" ht="158.4">
      <c r="A31" s="221">
        <v>30</v>
      </c>
      <c r="B31" s="32" t="s">
        <v>80</v>
      </c>
      <c r="C31" s="234">
        <v>36892</v>
      </c>
      <c r="D31" s="221" t="s">
        <v>81</v>
      </c>
      <c r="E31" s="221" t="s">
        <v>82</v>
      </c>
      <c r="F31" s="199"/>
      <c r="G31" s="14"/>
      <c r="H31" s="14"/>
      <c r="I31" s="14"/>
      <c r="J31" s="14"/>
      <c r="K31" s="14"/>
      <c r="L31" s="14"/>
      <c r="M31" s="14"/>
      <c r="N31" s="14"/>
      <c r="O31" s="14"/>
      <c r="P31" s="14"/>
      <c r="Q31" s="14"/>
      <c r="R31" s="14"/>
      <c r="S31" s="14"/>
      <c r="T31" s="14"/>
      <c r="U31" s="14"/>
      <c r="V31" s="14"/>
      <c r="W31" s="14"/>
      <c r="X31" s="14"/>
      <c r="Y31" s="14"/>
    </row>
    <row r="32" spans="1:25" ht="345.6">
      <c r="A32" s="221">
        <v>31</v>
      </c>
      <c r="B32" s="32" t="s">
        <v>83</v>
      </c>
      <c r="C32" s="234">
        <v>36892</v>
      </c>
      <c r="D32" s="221" t="s">
        <v>84</v>
      </c>
      <c r="E32" s="221" t="s">
        <v>85</v>
      </c>
      <c r="F32" s="199"/>
      <c r="G32" s="14"/>
      <c r="H32" s="14"/>
      <c r="I32" s="14"/>
      <c r="J32" s="14"/>
      <c r="K32" s="14"/>
      <c r="L32" s="14"/>
      <c r="M32" s="14"/>
      <c r="N32" s="14"/>
      <c r="O32" s="14"/>
      <c r="P32" s="14"/>
      <c r="Q32" s="14"/>
      <c r="R32" s="14"/>
      <c r="S32" s="14"/>
      <c r="T32" s="14"/>
      <c r="U32" s="14"/>
      <c r="V32" s="14"/>
      <c r="W32" s="14"/>
      <c r="X32" s="14"/>
      <c r="Y32" s="14"/>
    </row>
    <row r="33" spans="1:25" ht="172.8">
      <c r="A33" s="221">
        <v>32</v>
      </c>
      <c r="B33" s="32" t="s">
        <v>86</v>
      </c>
      <c r="C33" s="234">
        <v>36937</v>
      </c>
      <c r="D33" s="221" t="s">
        <v>87</v>
      </c>
      <c r="E33" s="221" t="s">
        <v>88</v>
      </c>
      <c r="F33" s="199"/>
      <c r="G33" s="14"/>
      <c r="H33" s="14"/>
      <c r="I33" s="14"/>
      <c r="J33" s="14"/>
      <c r="K33" s="14"/>
      <c r="L33" s="14"/>
      <c r="M33" s="14"/>
      <c r="N33" s="14"/>
      <c r="O33" s="14"/>
      <c r="P33" s="14"/>
      <c r="Q33" s="14"/>
      <c r="R33" s="14"/>
      <c r="S33" s="14"/>
      <c r="T33" s="14"/>
      <c r="U33" s="14"/>
      <c r="V33" s="14"/>
      <c r="W33" s="14"/>
      <c r="X33" s="14"/>
      <c r="Y33" s="14"/>
    </row>
    <row r="34" spans="1:25" ht="57.6">
      <c r="A34" s="221">
        <v>33</v>
      </c>
      <c r="B34" s="32" t="s">
        <v>89</v>
      </c>
      <c r="C34" s="234">
        <f>DATE(2001,6, 1)</f>
        <v>37043</v>
      </c>
      <c r="D34" s="221" t="s">
        <v>90</v>
      </c>
      <c r="E34" s="221" t="s">
        <v>21</v>
      </c>
      <c r="F34" s="199"/>
      <c r="G34" s="14"/>
      <c r="H34" s="14"/>
      <c r="I34" s="14"/>
      <c r="J34" s="14"/>
      <c r="K34" s="14"/>
      <c r="L34" s="14"/>
      <c r="M34" s="14"/>
      <c r="N34" s="14"/>
      <c r="O34" s="14"/>
      <c r="P34" s="14"/>
      <c r="Q34" s="14"/>
      <c r="R34" s="14"/>
      <c r="S34" s="14"/>
      <c r="T34" s="14"/>
      <c r="U34" s="14"/>
      <c r="V34" s="14"/>
      <c r="W34" s="14"/>
      <c r="X34" s="14"/>
      <c r="Y34" s="14"/>
    </row>
    <row r="35" spans="1:25" ht="201.6">
      <c r="A35" s="221">
        <v>34</v>
      </c>
      <c r="B35" s="32" t="s">
        <v>91</v>
      </c>
      <c r="C35" s="234">
        <v>37079</v>
      </c>
      <c r="D35" s="221" t="s">
        <v>92</v>
      </c>
      <c r="E35" s="221" t="s">
        <v>93</v>
      </c>
      <c r="F35" s="199"/>
      <c r="G35" s="14"/>
      <c r="H35" s="14"/>
      <c r="I35" s="14"/>
      <c r="J35" s="14"/>
      <c r="K35" s="14"/>
      <c r="L35" s="14"/>
      <c r="M35" s="14"/>
      <c r="N35" s="14"/>
      <c r="O35" s="14"/>
      <c r="P35" s="14"/>
      <c r="Q35" s="14"/>
      <c r="R35" s="14"/>
      <c r="S35" s="14"/>
      <c r="T35" s="14"/>
      <c r="U35" s="14"/>
      <c r="V35" s="14"/>
      <c r="W35" s="14"/>
      <c r="X35" s="14"/>
      <c r="Y35" s="14"/>
    </row>
    <row r="36" spans="1:25" ht="129.6">
      <c r="A36" s="221">
        <v>35</v>
      </c>
      <c r="B36" s="32" t="s">
        <v>94</v>
      </c>
      <c r="C36" s="234">
        <v>37079</v>
      </c>
      <c r="D36" s="221" t="s">
        <v>95</v>
      </c>
      <c r="E36" s="221" t="s">
        <v>96</v>
      </c>
      <c r="F36" s="199"/>
      <c r="G36" s="14"/>
      <c r="H36" s="14"/>
      <c r="I36" s="14"/>
      <c r="J36" s="14"/>
      <c r="K36" s="14"/>
      <c r="L36" s="14"/>
      <c r="M36" s="14"/>
      <c r="N36" s="14"/>
      <c r="O36" s="14"/>
      <c r="P36" s="14"/>
      <c r="Q36" s="14"/>
      <c r="R36" s="14"/>
      <c r="S36" s="14"/>
      <c r="T36" s="14"/>
      <c r="U36" s="14"/>
      <c r="V36" s="14"/>
      <c r="W36" s="14"/>
      <c r="X36" s="14"/>
      <c r="Y36" s="14"/>
    </row>
    <row r="37" spans="1:25" ht="129.6">
      <c r="A37" s="221">
        <v>36</v>
      </c>
      <c r="B37" s="32" t="s">
        <v>97</v>
      </c>
      <c r="C37" s="234">
        <v>37104</v>
      </c>
      <c r="D37" s="221" t="s">
        <v>98</v>
      </c>
      <c r="E37" s="221" t="s">
        <v>99</v>
      </c>
      <c r="F37" s="199"/>
      <c r="G37" s="14"/>
      <c r="H37" s="14"/>
      <c r="I37" s="14"/>
      <c r="J37" s="14"/>
      <c r="K37" s="14"/>
      <c r="L37" s="14"/>
      <c r="M37" s="14"/>
      <c r="N37" s="14"/>
      <c r="O37" s="14"/>
      <c r="P37" s="14"/>
      <c r="Q37" s="14"/>
      <c r="R37" s="14"/>
      <c r="S37" s="14"/>
      <c r="T37" s="14"/>
      <c r="U37" s="14"/>
      <c r="V37" s="14"/>
      <c r="W37" s="14"/>
      <c r="X37" s="14"/>
      <c r="Y37" s="14"/>
    </row>
    <row r="38" spans="1:25" ht="43.2">
      <c r="A38" s="221">
        <v>37</v>
      </c>
      <c r="B38" s="32" t="s">
        <v>100</v>
      </c>
      <c r="C38" s="234">
        <v>37135</v>
      </c>
      <c r="D38" s="221" t="s">
        <v>101</v>
      </c>
      <c r="E38" s="221" t="s">
        <v>21</v>
      </c>
      <c r="F38" s="199"/>
      <c r="G38" s="14"/>
      <c r="H38" s="14"/>
      <c r="I38" s="14"/>
      <c r="J38" s="14"/>
      <c r="K38" s="14"/>
      <c r="L38" s="14"/>
      <c r="M38" s="14"/>
      <c r="N38" s="14"/>
      <c r="O38" s="14"/>
      <c r="P38" s="14"/>
      <c r="Q38" s="14"/>
      <c r="R38" s="14"/>
      <c r="S38" s="14"/>
      <c r="T38" s="14"/>
      <c r="U38" s="14"/>
      <c r="V38" s="14"/>
      <c r="W38" s="14"/>
      <c r="X38" s="14"/>
      <c r="Y38" s="14"/>
    </row>
    <row r="39" spans="1:25" ht="57.6">
      <c r="A39" s="221">
        <v>38</v>
      </c>
      <c r="B39" s="32" t="s">
        <v>102</v>
      </c>
      <c r="C39" s="234">
        <v>37135</v>
      </c>
      <c r="D39" s="221" t="s">
        <v>103</v>
      </c>
      <c r="E39" s="221" t="s">
        <v>104</v>
      </c>
      <c r="F39" s="199"/>
      <c r="G39" s="14"/>
      <c r="H39" s="14"/>
      <c r="I39" s="14"/>
      <c r="J39" s="14"/>
      <c r="K39" s="14"/>
      <c r="L39" s="14"/>
      <c r="M39" s="14"/>
      <c r="N39" s="14"/>
      <c r="O39" s="14"/>
      <c r="P39" s="14"/>
      <c r="Q39" s="14"/>
      <c r="R39" s="14"/>
      <c r="S39" s="14"/>
      <c r="T39" s="14"/>
      <c r="U39" s="14"/>
      <c r="V39" s="14"/>
      <c r="W39" s="14"/>
      <c r="X39" s="14"/>
      <c r="Y39" s="14"/>
    </row>
    <row r="40" spans="1:25" ht="28.8">
      <c r="A40" s="221">
        <v>39</v>
      </c>
      <c r="B40" s="32" t="s">
        <v>105</v>
      </c>
      <c r="C40" s="234">
        <v>37147</v>
      </c>
      <c r="D40" s="221" t="s">
        <v>106</v>
      </c>
      <c r="E40" s="221" t="s">
        <v>21</v>
      </c>
      <c r="F40" s="199"/>
      <c r="G40" s="14"/>
      <c r="H40" s="14"/>
      <c r="I40" s="14"/>
      <c r="J40" s="14"/>
      <c r="K40" s="14"/>
      <c r="L40" s="14"/>
      <c r="M40" s="14"/>
      <c r="N40" s="14"/>
      <c r="O40" s="14"/>
      <c r="P40" s="14"/>
      <c r="Q40" s="14"/>
      <c r="R40" s="14"/>
      <c r="S40" s="14"/>
      <c r="T40" s="14"/>
      <c r="U40" s="14"/>
      <c r="V40" s="14"/>
      <c r="W40" s="14"/>
      <c r="X40" s="14"/>
      <c r="Y40" s="14"/>
    </row>
    <row r="41" spans="1:25" ht="259.2">
      <c r="A41" s="221">
        <v>40</v>
      </c>
      <c r="B41" s="32" t="s">
        <v>107</v>
      </c>
      <c r="C41" s="234">
        <v>37165</v>
      </c>
      <c r="D41" s="221" t="s">
        <v>108</v>
      </c>
      <c r="E41" s="221" t="s">
        <v>14</v>
      </c>
      <c r="F41" s="199"/>
      <c r="G41" s="14"/>
      <c r="H41" s="14"/>
      <c r="I41" s="14"/>
      <c r="J41" s="14"/>
      <c r="K41" s="14"/>
      <c r="L41" s="14"/>
      <c r="M41" s="14"/>
      <c r="N41" s="14"/>
      <c r="O41" s="14"/>
      <c r="P41" s="14"/>
      <c r="Q41" s="14"/>
      <c r="R41" s="14"/>
      <c r="S41" s="14"/>
      <c r="T41" s="14"/>
      <c r="U41" s="14"/>
      <c r="V41" s="14"/>
      <c r="W41" s="14"/>
      <c r="X41" s="14"/>
      <c r="Y41" s="14"/>
    </row>
    <row r="42" spans="1:25" ht="158.4">
      <c r="A42" s="221">
        <v>41</v>
      </c>
      <c r="B42" s="32" t="s">
        <v>109</v>
      </c>
      <c r="C42" s="234">
        <v>37165</v>
      </c>
      <c r="D42" s="221" t="s">
        <v>110</v>
      </c>
      <c r="E42" s="221" t="s">
        <v>111</v>
      </c>
      <c r="F42" s="199"/>
      <c r="G42" s="14"/>
      <c r="H42" s="14"/>
      <c r="I42" s="14"/>
      <c r="J42" s="14"/>
      <c r="K42" s="14"/>
      <c r="L42" s="14"/>
      <c r="M42" s="14"/>
      <c r="N42" s="14"/>
      <c r="O42" s="14"/>
      <c r="P42" s="14"/>
      <c r="Q42" s="14"/>
      <c r="R42" s="14"/>
      <c r="S42" s="14"/>
      <c r="T42" s="14"/>
      <c r="U42" s="14"/>
      <c r="V42" s="14"/>
      <c r="W42" s="14"/>
      <c r="X42" s="14"/>
      <c r="Y42" s="14"/>
    </row>
    <row r="43" spans="1:25" ht="57.6">
      <c r="A43" s="221">
        <v>42</v>
      </c>
      <c r="B43" s="32" t="s">
        <v>112</v>
      </c>
      <c r="C43" s="234">
        <v>37196</v>
      </c>
      <c r="D43" s="221" t="s">
        <v>113</v>
      </c>
      <c r="E43" s="221" t="s">
        <v>114</v>
      </c>
      <c r="F43" s="199"/>
      <c r="G43" s="14"/>
      <c r="H43" s="14"/>
      <c r="I43" s="14"/>
      <c r="J43" s="14"/>
      <c r="K43" s="14"/>
      <c r="L43" s="14"/>
      <c r="M43" s="14"/>
      <c r="N43" s="14"/>
      <c r="O43" s="14"/>
      <c r="P43" s="14"/>
      <c r="Q43" s="14"/>
      <c r="R43" s="14"/>
      <c r="S43" s="14"/>
      <c r="T43" s="14"/>
      <c r="U43" s="14"/>
      <c r="V43" s="14"/>
      <c r="W43" s="14"/>
      <c r="X43" s="14"/>
      <c r="Y43" s="14"/>
    </row>
    <row r="44" spans="1:25" ht="172.8">
      <c r="A44" s="221">
        <v>43</v>
      </c>
      <c r="B44" s="32" t="s">
        <v>115</v>
      </c>
      <c r="C44" s="234">
        <v>37228</v>
      </c>
      <c r="D44" s="221" t="s">
        <v>116</v>
      </c>
      <c r="E44" s="221" t="s">
        <v>117</v>
      </c>
      <c r="F44" s="199"/>
      <c r="G44" s="14"/>
      <c r="H44" s="14"/>
      <c r="I44" s="14"/>
      <c r="J44" s="14"/>
      <c r="K44" s="14"/>
      <c r="L44" s="14"/>
      <c r="M44" s="14"/>
      <c r="N44" s="14"/>
      <c r="O44" s="14"/>
      <c r="P44" s="14"/>
      <c r="Q44" s="14"/>
      <c r="R44" s="14"/>
      <c r="S44" s="14"/>
      <c r="T44" s="14"/>
      <c r="U44" s="14"/>
      <c r="V44" s="14"/>
      <c r="W44" s="14"/>
      <c r="X44" s="14"/>
      <c r="Y44" s="14"/>
    </row>
    <row r="45" spans="1:25" ht="72">
      <c r="A45" s="221">
        <v>44</v>
      </c>
      <c r="B45" s="32" t="s">
        <v>118</v>
      </c>
      <c r="C45" s="234">
        <v>37257</v>
      </c>
      <c r="D45" s="221" t="s">
        <v>119</v>
      </c>
      <c r="E45" s="221" t="s">
        <v>21</v>
      </c>
      <c r="F45" s="199"/>
      <c r="G45" s="14"/>
      <c r="H45" s="14"/>
      <c r="I45" s="14"/>
      <c r="J45" s="14"/>
      <c r="K45" s="14"/>
      <c r="L45" s="14"/>
      <c r="M45" s="14"/>
      <c r="N45" s="14"/>
      <c r="O45" s="14"/>
      <c r="P45" s="14"/>
      <c r="Q45" s="14"/>
      <c r="R45" s="14"/>
      <c r="S45" s="14"/>
      <c r="T45" s="14"/>
      <c r="U45" s="14"/>
      <c r="V45" s="14"/>
      <c r="W45" s="14"/>
      <c r="X45" s="14"/>
      <c r="Y45" s="14"/>
    </row>
    <row r="46" spans="1:25" ht="409.6">
      <c r="A46" s="221">
        <v>45</v>
      </c>
      <c r="B46" s="32" t="s">
        <v>120</v>
      </c>
      <c r="C46" s="234">
        <v>37316</v>
      </c>
      <c r="D46" s="221" t="s">
        <v>121</v>
      </c>
      <c r="E46" s="221" t="s">
        <v>122</v>
      </c>
      <c r="F46" s="199"/>
      <c r="G46" s="14"/>
      <c r="H46" s="14"/>
      <c r="I46" s="14"/>
      <c r="J46" s="14"/>
      <c r="K46" s="14"/>
      <c r="L46" s="14"/>
      <c r="M46" s="14"/>
      <c r="N46" s="14"/>
      <c r="O46" s="14"/>
      <c r="P46" s="14"/>
      <c r="Q46" s="14"/>
      <c r="R46" s="14"/>
      <c r="S46" s="14"/>
      <c r="T46" s="14"/>
      <c r="U46" s="14"/>
      <c r="V46" s="14"/>
      <c r="W46" s="14"/>
      <c r="X46" s="14"/>
      <c r="Y46" s="14"/>
    </row>
    <row r="47" spans="1:25" ht="172.8">
      <c r="A47" s="221">
        <v>46</v>
      </c>
      <c r="B47" s="32" t="s">
        <v>123</v>
      </c>
      <c r="C47" s="234">
        <v>37362</v>
      </c>
      <c r="D47" s="221" t="s">
        <v>124</v>
      </c>
      <c r="E47" s="221" t="s">
        <v>125</v>
      </c>
      <c r="F47" s="199"/>
      <c r="G47" s="14"/>
      <c r="H47" s="14"/>
      <c r="I47" s="14"/>
      <c r="J47" s="14"/>
      <c r="K47" s="14"/>
      <c r="L47" s="14"/>
      <c r="M47" s="14"/>
      <c r="N47" s="14"/>
      <c r="O47" s="14"/>
      <c r="P47" s="14"/>
      <c r="Q47" s="14"/>
      <c r="R47" s="14"/>
      <c r="S47" s="14"/>
      <c r="T47" s="14"/>
      <c r="U47" s="14"/>
      <c r="V47" s="14"/>
      <c r="W47" s="14"/>
      <c r="X47" s="14"/>
      <c r="Y47" s="14"/>
    </row>
    <row r="48" spans="1:25" ht="172.8">
      <c r="A48" s="221">
        <v>47</v>
      </c>
      <c r="B48" s="32" t="s">
        <v>126</v>
      </c>
      <c r="C48" s="234">
        <v>37363</v>
      </c>
      <c r="D48" s="221" t="s">
        <v>127</v>
      </c>
      <c r="E48" s="221" t="s">
        <v>74</v>
      </c>
      <c r="F48" s="199"/>
      <c r="G48" s="14"/>
      <c r="H48" s="14"/>
      <c r="I48" s="14"/>
      <c r="J48" s="14"/>
      <c r="K48" s="14"/>
      <c r="L48" s="14"/>
      <c r="M48" s="14"/>
      <c r="N48" s="14"/>
      <c r="O48" s="14"/>
      <c r="P48" s="14"/>
      <c r="Q48" s="14"/>
      <c r="R48" s="14"/>
      <c r="S48" s="14"/>
      <c r="T48" s="14"/>
      <c r="U48" s="14"/>
      <c r="V48" s="14"/>
      <c r="W48" s="14"/>
      <c r="X48" s="14"/>
      <c r="Y48" s="14"/>
    </row>
    <row r="49" spans="1:25" ht="57.6">
      <c r="A49" s="221">
        <v>48</v>
      </c>
      <c r="B49" s="32" t="s">
        <v>128</v>
      </c>
      <c r="C49" s="234">
        <v>37377</v>
      </c>
      <c r="D49" s="221" t="s">
        <v>129</v>
      </c>
      <c r="E49" s="221" t="s">
        <v>130</v>
      </c>
      <c r="F49" s="199"/>
      <c r="G49" s="14"/>
      <c r="H49" s="14"/>
      <c r="I49" s="14"/>
      <c r="J49" s="14"/>
      <c r="K49" s="14"/>
      <c r="L49" s="14"/>
      <c r="M49" s="14"/>
      <c r="N49" s="14"/>
      <c r="O49" s="14"/>
      <c r="P49" s="14"/>
      <c r="Q49" s="14"/>
      <c r="R49" s="14"/>
      <c r="S49" s="14"/>
      <c r="T49" s="14"/>
      <c r="U49" s="14"/>
      <c r="V49" s="14"/>
      <c r="W49" s="14"/>
      <c r="X49" s="14"/>
      <c r="Y49" s="14"/>
    </row>
    <row r="50" spans="1:25" ht="115.2">
      <c r="A50" s="221">
        <v>49</v>
      </c>
      <c r="B50" s="32" t="s">
        <v>131</v>
      </c>
      <c r="C50" s="234">
        <v>37377</v>
      </c>
      <c r="D50" s="221" t="s">
        <v>132</v>
      </c>
      <c r="E50" s="221" t="s">
        <v>133</v>
      </c>
      <c r="F50" s="199"/>
      <c r="G50" s="14"/>
      <c r="H50" s="14"/>
      <c r="I50" s="14"/>
      <c r="J50" s="14"/>
      <c r="K50" s="14"/>
      <c r="L50" s="14"/>
      <c r="M50" s="14"/>
      <c r="N50" s="14"/>
      <c r="O50" s="14"/>
      <c r="P50" s="14"/>
      <c r="Q50" s="14"/>
      <c r="R50" s="14"/>
      <c r="S50" s="14"/>
      <c r="T50" s="14"/>
      <c r="U50" s="14"/>
      <c r="V50" s="14"/>
      <c r="W50" s="14"/>
      <c r="X50" s="14"/>
      <c r="Y50" s="14"/>
    </row>
    <row r="51" spans="1:25" ht="129.6">
      <c r="A51" s="221">
        <v>50</v>
      </c>
      <c r="B51" s="32" t="s">
        <v>134</v>
      </c>
      <c r="C51" s="234">
        <v>37377</v>
      </c>
      <c r="D51" s="221" t="s">
        <v>135</v>
      </c>
      <c r="E51" s="221" t="s">
        <v>136</v>
      </c>
      <c r="F51" s="199"/>
      <c r="G51" s="14"/>
      <c r="H51" s="14"/>
      <c r="I51" s="14"/>
      <c r="J51" s="14"/>
      <c r="K51" s="14"/>
      <c r="L51" s="14"/>
      <c r="M51" s="14"/>
      <c r="N51" s="14"/>
      <c r="O51" s="14"/>
      <c r="P51" s="14"/>
      <c r="Q51" s="14"/>
      <c r="R51" s="14"/>
      <c r="S51" s="14"/>
      <c r="T51" s="14"/>
      <c r="U51" s="14"/>
      <c r="V51" s="14"/>
      <c r="W51" s="14"/>
      <c r="X51" s="14"/>
      <c r="Y51" s="14"/>
    </row>
    <row r="52" spans="1:25" ht="43.2">
      <c r="A52" s="221">
        <v>51</v>
      </c>
      <c r="B52" s="32" t="s">
        <v>137</v>
      </c>
      <c r="C52" s="234">
        <v>37377</v>
      </c>
      <c r="D52" s="221" t="s">
        <v>138</v>
      </c>
      <c r="E52" s="221" t="s">
        <v>139</v>
      </c>
      <c r="F52" s="199"/>
      <c r="G52" s="14"/>
      <c r="H52" s="14"/>
      <c r="I52" s="14"/>
      <c r="J52" s="14"/>
      <c r="K52" s="14"/>
      <c r="L52" s="14"/>
      <c r="M52" s="14"/>
      <c r="N52" s="14"/>
      <c r="O52" s="14"/>
      <c r="P52" s="14"/>
      <c r="Q52" s="14"/>
      <c r="R52" s="14"/>
      <c r="S52" s="14"/>
      <c r="T52" s="14"/>
      <c r="U52" s="14"/>
      <c r="V52" s="14"/>
      <c r="W52" s="14"/>
      <c r="X52" s="14"/>
      <c r="Y52" s="14"/>
    </row>
    <row r="53" spans="1:25" ht="115.2">
      <c r="A53" s="221">
        <v>52</v>
      </c>
      <c r="B53" s="32" t="s">
        <v>140</v>
      </c>
      <c r="C53" s="234">
        <v>37411</v>
      </c>
      <c r="D53" s="221" t="s">
        <v>141</v>
      </c>
      <c r="E53" s="221" t="s">
        <v>142</v>
      </c>
      <c r="F53" s="199"/>
      <c r="G53" s="14"/>
      <c r="H53" s="14"/>
      <c r="I53" s="14"/>
      <c r="J53" s="14"/>
      <c r="K53" s="14"/>
      <c r="L53" s="14"/>
      <c r="M53" s="14"/>
      <c r="N53" s="14"/>
      <c r="O53" s="14"/>
      <c r="P53" s="14"/>
      <c r="Q53" s="14"/>
      <c r="R53" s="14"/>
      <c r="S53" s="14"/>
      <c r="T53" s="14"/>
      <c r="U53" s="14"/>
      <c r="V53" s="14"/>
      <c r="W53" s="14"/>
      <c r="X53" s="14"/>
      <c r="Y53" s="14"/>
    </row>
    <row r="54" spans="1:25" ht="100.8">
      <c r="A54" s="221">
        <v>53</v>
      </c>
      <c r="B54" s="201" t="s">
        <v>143</v>
      </c>
      <c r="C54" s="234">
        <v>37411</v>
      </c>
      <c r="D54" s="221" t="s">
        <v>144</v>
      </c>
      <c r="E54" s="221" t="s">
        <v>145</v>
      </c>
      <c r="F54" s="199"/>
      <c r="G54" s="14"/>
      <c r="H54" s="14"/>
      <c r="I54" s="14"/>
      <c r="J54" s="14"/>
      <c r="K54" s="14"/>
      <c r="L54" s="14"/>
      <c r="M54" s="14"/>
      <c r="N54" s="14"/>
      <c r="O54" s="14"/>
      <c r="P54" s="14"/>
      <c r="Q54" s="14"/>
      <c r="R54" s="14"/>
      <c r="S54" s="14"/>
      <c r="T54" s="14"/>
      <c r="U54" s="14"/>
      <c r="V54" s="14"/>
      <c r="W54" s="14"/>
      <c r="X54" s="14"/>
      <c r="Y54" s="14"/>
    </row>
    <row r="55" spans="1:25" ht="72">
      <c r="A55" s="221">
        <v>54</v>
      </c>
      <c r="B55" s="32" t="s">
        <v>146</v>
      </c>
      <c r="C55" s="234">
        <v>37438</v>
      </c>
      <c r="D55" s="221" t="s">
        <v>147</v>
      </c>
      <c r="E55" s="221" t="s">
        <v>148</v>
      </c>
      <c r="F55" s="199"/>
      <c r="G55" s="14"/>
      <c r="H55" s="14"/>
      <c r="I55" s="14"/>
      <c r="J55" s="14"/>
      <c r="K55" s="14"/>
      <c r="L55" s="14"/>
      <c r="M55" s="14"/>
      <c r="N55" s="14"/>
      <c r="O55" s="14"/>
      <c r="P55" s="14"/>
      <c r="Q55" s="14"/>
      <c r="R55" s="14"/>
      <c r="S55" s="14"/>
      <c r="T55" s="14"/>
      <c r="U55" s="14"/>
      <c r="V55" s="14"/>
      <c r="W55" s="14"/>
      <c r="X55" s="14"/>
      <c r="Y55" s="14"/>
    </row>
    <row r="56" spans="1:25" ht="100.8">
      <c r="A56" s="221">
        <v>55</v>
      </c>
      <c r="B56" s="32" t="s">
        <v>149</v>
      </c>
      <c r="C56" s="234">
        <v>37438</v>
      </c>
      <c r="D56" s="221" t="s">
        <v>150</v>
      </c>
      <c r="E56" s="221" t="s">
        <v>151</v>
      </c>
      <c r="F56" s="199"/>
      <c r="G56" s="14"/>
      <c r="H56" s="14"/>
      <c r="I56" s="14"/>
      <c r="J56" s="14"/>
      <c r="K56" s="14"/>
      <c r="L56" s="14"/>
      <c r="M56" s="14"/>
      <c r="N56" s="14"/>
      <c r="O56" s="14"/>
      <c r="P56" s="14"/>
      <c r="Q56" s="14"/>
      <c r="R56" s="14"/>
      <c r="S56" s="14"/>
      <c r="T56" s="14"/>
      <c r="U56" s="14"/>
      <c r="V56" s="14"/>
      <c r="W56" s="14"/>
      <c r="X56" s="14"/>
      <c r="Y56" s="14"/>
    </row>
    <row r="57" spans="1:25" ht="100.8">
      <c r="A57" s="221">
        <v>56</v>
      </c>
      <c r="B57" s="32" t="s">
        <v>152</v>
      </c>
      <c r="C57" s="234">
        <v>37469</v>
      </c>
      <c r="D57" s="221" t="s">
        <v>153</v>
      </c>
      <c r="E57" s="221" t="s">
        <v>154</v>
      </c>
      <c r="F57" s="199"/>
      <c r="G57" s="14"/>
      <c r="H57" s="14"/>
      <c r="I57" s="14"/>
      <c r="J57" s="14"/>
      <c r="K57" s="14"/>
      <c r="L57" s="14"/>
      <c r="M57" s="14"/>
      <c r="N57" s="14"/>
      <c r="O57" s="14"/>
      <c r="P57" s="14"/>
      <c r="Q57" s="14"/>
      <c r="R57" s="14"/>
      <c r="S57" s="14"/>
      <c r="T57" s="14"/>
      <c r="U57" s="14"/>
      <c r="V57" s="14"/>
      <c r="W57" s="14"/>
      <c r="X57" s="14"/>
      <c r="Y57" s="14"/>
    </row>
    <row r="58" spans="1:25" ht="158.4">
      <c r="A58" s="221">
        <v>57</v>
      </c>
      <c r="B58" s="32" t="s">
        <v>155</v>
      </c>
      <c r="C58" s="234">
        <v>37530</v>
      </c>
      <c r="D58" s="221" t="s">
        <v>156</v>
      </c>
      <c r="E58" s="221" t="s">
        <v>157</v>
      </c>
      <c r="F58" s="199"/>
      <c r="G58" s="14"/>
      <c r="H58" s="14"/>
      <c r="I58" s="14"/>
      <c r="J58" s="14"/>
      <c r="K58" s="14"/>
      <c r="L58" s="14"/>
      <c r="M58" s="14"/>
      <c r="N58" s="14"/>
      <c r="O58" s="14"/>
      <c r="P58" s="14"/>
      <c r="Q58" s="14"/>
      <c r="R58" s="14"/>
      <c r="S58" s="14"/>
      <c r="T58" s="14"/>
      <c r="U58" s="14"/>
      <c r="V58" s="14"/>
      <c r="W58" s="14"/>
      <c r="X58" s="14"/>
      <c r="Y58" s="14"/>
    </row>
    <row r="59" spans="1:25" ht="28.8">
      <c r="A59" s="221">
        <v>58</v>
      </c>
      <c r="B59" s="32" t="s">
        <v>158</v>
      </c>
      <c r="C59" s="234">
        <v>37561</v>
      </c>
      <c r="D59" s="221" t="s">
        <v>159</v>
      </c>
      <c r="E59" s="221" t="s">
        <v>136</v>
      </c>
      <c r="F59" s="199"/>
      <c r="G59" s="14"/>
      <c r="H59" s="14"/>
      <c r="I59" s="14"/>
      <c r="J59" s="14"/>
      <c r="K59" s="14"/>
      <c r="L59" s="14"/>
      <c r="M59" s="14"/>
      <c r="N59" s="14"/>
      <c r="O59" s="14"/>
      <c r="P59" s="14"/>
      <c r="Q59" s="14"/>
      <c r="R59" s="14"/>
      <c r="S59" s="14"/>
      <c r="T59" s="14"/>
      <c r="U59" s="14"/>
      <c r="V59" s="14"/>
      <c r="W59" s="14"/>
      <c r="X59" s="14"/>
      <c r="Y59" s="14"/>
    </row>
    <row r="60" spans="1:25" ht="187.2">
      <c r="A60" s="221">
        <v>59</v>
      </c>
      <c r="B60" s="32" t="s">
        <v>160</v>
      </c>
      <c r="C60" s="234">
        <v>37564</v>
      </c>
      <c r="D60" s="221" t="s">
        <v>161</v>
      </c>
      <c r="E60" s="221" t="s">
        <v>162</v>
      </c>
      <c r="F60" s="199"/>
      <c r="G60" s="14"/>
      <c r="H60" s="14"/>
      <c r="I60" s="14"/>
      <c r="J60" s="14"/>
      <c r="K60" s="14"/>
      <c r="L60" s="14"/>
      <c r="M60" s="14"/>
      <c r="N60" s="14"/>
      <c r="O60" s="14"/>
      <c r="P60" s="14"/>
      <c r="Q60" s="14"/>
      <c r="R60" s="14"/>
      <c r="S60" s="14"/>
      <c r="T60" s="14"/>
      <c r="U60" s="14"/>
      <c r="V60" s="14"/>
      <c r="W60" s="14"/>
      <c r="X60" s="14"/>
      <c r="Y60" s="14"/>
    </row>
    <row r="61" spans="1:25" ht="129.6">
      <c r="A61" s="221">
        <v>60</v>
      </c>
      <c r="B61" s="32" t="s">
        <v>163</v>
      </c>
      <c r="C61" s="234">
        <v>37580</v>
      </c>
      <c r="D61" s="221" t="s">
        <v>164</v>
      </c>
      <c r="E61" s="221" t="s">
        <v>162</v>
      </c>
      <c r="F61" s="199"/>
      <c r="G61" s="14"/>
      <c r="H61" s="14"/>
      <c r="I61" s="14"/>
      <c r="J61" s="14"/>
      <c r="K61" s="14"/>
      <c r="L61" s="14"/>
      <c r="M61" s="14"/>
      <c r="N61" s="14"/>
      <c r="O61" s="14"/>
      <c r="P61" s="14"/>
      <c r="Q61" s="14"/>
      <c r="R61" s="14"/>
      <c r="S61" s="14"/>
      <c r="T61" s="14"/>
      <c r="U61" s="14"/>
      <c r="V61" s="14"/>
      <c r="W61" s="14"/>
      <c r="X61" s="14"/>
      <c r="Y61" s="14"/>
    </row>
    <row r="62" spans="1:25" ht="86.4">
      <c r="A62" s="221">
        <v>61</v>
      </c>
      <c r="B62" s="32" t="s">
        <v>165</v>
      </c>
      <c r="C62" s="234">
        <v>37587</v>
      </c>
      <c r="D62" s="221" t="s">
        <v>166</v>
      </c>
      <c r="E62" s="221" t="s">
        <v>167</v>
      </c>
      <c r="F62" s="199"/>
      <c r="G62" s="14"/>
      <c r="H62" s="14"/>
      <c r="I62" s="14"/>
      <c r="J62" s="14"/>
      <c r="K62" s="14"/>
      <c r="L62" s="14"/>
      <c r="M62" s="14"/>
      <c r="N62" s="14"/>
      <c r="O62" s="14"/>
      <c r="P62" s="14"/>
      <c r="Q62" s="14"/>
      <c r="R62" s="14"/>
      <c r="S62" s="14"/>
      <c r="T62" s="14"/>
      <c r="U62" s="14"/>
      <c r="V62" s="14"/>
      <c r="W62" s="14"/>
      <c r="X62" s="14"/>
      <c r="Y62" s="14"/>
    </row>
    <row r="63" spans="1:25" ht="158.4">
      <c r="A63" s="221">
        <v>62</v>
      </c>
      <c r="B63" s="32" t="s">
        <v>168</v>
      </c>
      <c r="C63" s="234">
        <v>37599</v>
      </c>
      <c r="D63" s="221" t="s">
        <v>169</v>
      </c>
      <c r="E63" s="221" t="s">
        <v>162</v>
      </c>
      <c r="F63" s="199"/>
      <c r="G63" s="14"/>
      <c r="H63" s="14"/>
      <c r="I63" s="14"/>
      <c r="J63" s="14"/>
      <c r="K63" s="14"/>
      <c r="L63" s="14"/>
      <c r="M63" s="14"/>
      <c r="N63" s="14"/>
      <c r="O63" s="14"/>
      <c r="P63" s="14"/>
      <c r="Q63" s="14"/>
      <c r="R63" s="14"/>
      <c r="S63" s="14"/>
      <c r="T63" s="14"/>
      <c r="U63" s="14"/>
      <c r="V63" s="14"/>
      <c r="W63" s="14"/>
      <c r="X63" s="14"/>
      <c r="Y63" s="14"/>
    </row>
    <row r="64" spans="1:25" ht="129.6">
      <c r="A64" s="221">
        <v>63</v>
      </c>
      <c r="B64" s="32" t="s">
        <v>170</v>
      </c>
      <c r="C64" s="234">
        <v>37607</v>
      </c>
      <c r="D64" s="221" t="s">
        <v>171</v>
      </c>
      <c r="E64" s="221" t="s">
        <v>162</v>
      </c>
      <c r="F64" s="199"/>
      <c r="G64" s="14"/>
      <c r="H64" s="14"/>
      <c r="I64" s="14"/>
      <c r="J64" s="14"/>
      <c r="K64" s="14"/>
      <c r="L64" s="14"/>
      <c r="M64" s="14"/>
      <c r="N64" s="14"/>
      <c r="O64" s="14"/>
      <c r="P64" s="14"/>
      <c r="Q64" s="14"/>
      <c r="R64" s="14"/>
      <c r="S64" s="14"/>
      <c r="T64" s="14"/>
      <c r="U64" s="14"/>
      <c r="V64" s="14"/>
      <c r="W64" s="14"/>
      <c r="X64" s="14"/>
      <c r="Y64" s="14"/>
    </row>
    <row r="65" spans="1:25" ht="129.6">
      <c r="A65" s="221">
        <v>64</v>
      </c>
      <c r="B65" s="32" t="s">
        <v>172</v>
      </c>
      <c r="C65" s="234">
        <v>37608</v>
      </c>
      <c r="D65" s="221" t="s">
        <v>173</v>
      </c>
      <c r="E65" s="221" t="s">
        <v>174</v>
      </c>
      <c r="F65" s="199"/>
      <c r="G65" s="14"/>
      <c r="H65" s="14"/>
      <c r="I65" s="14"/>
      <c r="J65" s="14"/>
      <c r="K65" s="14"/>
      <c r="L65" s="14"/>
      <c r="M65" s="14"/>
      <c r="N65" s="14"/>
      <c r="O65" s="14"/>
      <c r="P65" s="14"/>
      <c r="Q65" s="14"/>
      <c r="R65" s="14"/>
      <c r="S65" s="14"/>
      <c r="T65" s="14"/>
      <c r="U65" s="14"/>
      <c r="V65" s="14"/>
      <c r="W65" s="14"/>
      <c r="X65" s="14"/>
      <c r="Y65" s="14"/>
    </row>
    <row r="66" spans="1:25" ht="144">
      <c r="A66" s="221">
        <v>65</v>
      </c>
      <c r="B66" s="32" t="s">
        <v>175</v>
      </c>
      <c r="C66" s="234">
        <v>37622</v>
      </c>
      <c r="D66" s="221" t="s">
        <v>176</v>
      </c>
      <c r="E66" s="221" t="s">
        <v>177</v>
      </c>
      <c r="F66" s="199"/>
      <c r="G66" s="14"/>
      <c r="H66" s="14"/>
      <c r="I66" s="14"/>
      <c r="J66" s="14"/>
      <c r="K66" s="14"/>
      <c r="L66" s="14"/>
      <c r="M66" s="14"/>
      <c r="N66" s="14"/>
      <c r="O66" s="14"/>
      <c r="P66" s="14"/>
      <c r="Q66" s="14"/>
      <c r="R66" s="14"/>
      <c r="S66" s="14"/>
      <c r="T66" s="14"/>
      <c r="U66" s="14"/>
      <c r="V66" s="14"/>
      <c r="W66" s="14"/>
      <c r="X66" s="14"/>
      <c r="Y66" s="14"/>
    </row>
    <row r="67" spans="1:25" ht="115.2">
      <c r="A67" s="221">
        <v>66</v>
      </c>
      <c r="B67" s="32" t="s">
        <v>178</v>
      </c>
      <c r="C67" s="234">
        <v>37681</v>
      </c>
      <c r="D67" s="221" t="s">
        <v>179</v>
      </c>
      <c r="E67" s="221" t="s">
        <v>180</v>
      </c>
      <c r="F67" s="199"/>
      <c r="G67" s="14"/>
      <c r="H67" s="14"/>
      <c r="I67" s="14"/>
      <c r="J67" s="14"/>
      <c r="K67" s="14"/>
      <c r="L67" s="14"/>
      <c r="M67" s="14"/>
      <c r="N67" s="14"/>
      <c r="O67" s="14"/>
      <c r="P67" s="14"/>
      <c r="Q67" s="14"/>
      <c r="R67" s="14"/>
      <c r="S67" s="14"/>
      <c r="T67" s="14"/>
      <c r="U67" s="14"/>
      <c r="V67" s="14"/>
      <c r="W67" s="14"/>
      <c r="X67" s="14"/>
      <c r="Y67" s="14"/>
    </row>
    <row r="68" spans="1:25" ht="172.8">
      <c r="A68" s="221">
        <v>67</v>
      </c>
      <c r="B68" s="32" t="s">
        <v>181</v>
      </c>
      <c r="C68" s="234">
        <v>37691</v>
      </c>
      <c r="D68" s="221" t="s">
        <v>182</v>
      </c>
      <c r="E68" s="221" t="s">
        <v>7</v>
      </c>
      <c r="F68" s="199"/>
      <c r="G68" s="14"/>
      <c r="H68" s="14"/>
      <c r="I68" s="14"/>
      <c r="J68" s="14"/>
      <c r="K68" s="14"/>
      <c r="L68" s="14"/>
      <c r="M68" s="14"/>
      <c r="N68" s="14"/>
      <c r="O68" s="14"/>
      <c r="P68" s="14"/>
      <c r="Q68" s="14"/>
      <c r="R68" s="14"/>
      <c r="S68" s="14"/>
      <c r="T68" s="14"/>
      <c r="U68" s="14"/>
      <c r="V68" s="14"/>
      <c r="W68" s="14"/>
      <c r="X68" s="14"/>
      <c r="Y68" s="14"/>
    </row>
    <row r="69" spans="1:25" ht="86.4">
      <c r="A69" s="221">
        <v>68</v>
      </c>
      <c r="B69" s="32" t="s">
        <v>183</v>
      </c>
      <c r="C69" s="234">
        <v>37712</v>
      </c>
      <c r="D69" s="221" t="s">
        <v>184</v>
      </c>
      <c r="E69" s="221" t="s">
        <v>185</v>
      </c>
      <c r="F69" s="199"/>
      <c r="G69" s="14"/>
      <c r="H69" s="14"/>
      <c r="I69" s="14"/>
      <c r="J69" s="14"/>
      <c r="K69" s="14"/>
      <c r="L69" s="14"/>
      <c r="M69" s="14"/>
      <c r="N69" s="14"/>
      <c r="O69" s="14"/>
      <c r="P69" s="14"/>
      <c r="Q69" s="14"/>
      <c r="R69" s="14"/>
      <c r="S69" s="14"/>
      <c r="T69" s="14"/>
      <c r="U69" s="14"/>
      <c r="V69" s="14"/>
      <c r="W69" s="14"/>
      <c r="X69" s="14"/>
      <c r="Y69" s="14"/>
    </row>
    <row r="70" spans="1:25" ht="115.2">
      <c r="A70" s="221">
        <v>69</v>
      </c>
      <c r="B70" s="32" t="s">
        <v>186</v>
      </c>
      <c r="C70" s="234">
        <v>37742</v>
      </c>
      <c r="D70" s="221" t="s">
        <v>187</v>
      </c>
      <c r="E70" s="221" t="s">
        <v>188</v>
      </c>
      <c r="F70" s="199"/>
      <c r="G70" s="14"/>
      <c r="H70" s="14"/>
      <c r="I70" s="14"/>
      <c r="J70" s="14"/>
      <c r="K70" s="14"/>
      <c r="L70" s="14"/>
      <c r="M70" s="14"/>
      <c r="N70" s="14"/>
      <c r="O70" s="14"/>
      <c r="P70" s="14"/>
      <c r="Q70" s="14"/>
      <c r="R70" s="14"/>
      <c r="S70" s="14"/>
      <c r="T70" s="14"/>
      <c r="U70" s="14"/>
      <c r="V70" s="14"/>
      <c r="W70" s="14"/>
      <c r="X70" s="14"/>
      <c r="Y70" s="14"/>
    </row>
    <row r="71" spans="1:25" ht="86.4">
      <c r="A71" s="221">
        <v>70</v>
      </c>
      <c r="B71" s="32" t="s">
        <v>189</v>
      </c>
      <c r="C71" s="234">
        <v>37742</v>
      </c>
      <c r="D71" s="221" t="s">
        <v>190</v>
      </c>
      <c r="E71" s="221" t="s">
        <v>191</v>
      </c>
      <c r="F71" s="199"/>
      <c r="G71" s="14"/>
      <c r="H71" s="14"/>
      <c r="I71" s="14"/>
      <c r="J71" s="14"/>
      <c r="K71" s="14"/>
      <c r="L71" s="14"/>
      <c r="M71" s="14"/>
      <c r="N71" s="14"/>
      <c r="O71" s="14"/>
      <c r="P71" s="14"/>
      <c r="Q71" s="14"/>
      <c r="R71" s="14"/>
      <c r="S71" s="14"/>
      <c r="T71" s="14"/>
      <c r="U71" s="14"/>
      <c r="V71" s="14"/>
      <c r="W71" s="14"/>
      <c r="X71" s="14"/>
      <c r="Y71" s="14"/>
    </row>
    <row r="72" spans="1:25" ht="408.6" customHeight="1">
      <c r="A72" s="221">
        <v>71</v>
      </c>
      <c r="B72" s="32" t="s">
        <v>192</v>
      </c>
      <c r="C72" s="234">
        <v>37773</v>
      </c>
      <c r="D72" s="221" t="s">
        <v>193</v>
      </c>
      <c r="E72" s="221" t="s">
        <v>194</v>
      </c>
      <c r="F72" s="199"/>
      <c r="G72" s="14"/>
      <c r="H72" s="14"/>
      <c r="I72" s="14"/>
      <c r="J72" s="14"/>
      <c r="K72" s="14"/>
      <c r="L72" s="14"/>
      <c r="M72" s="14"/>
      <c r="N72" s="14"/>
      <c r="O72" s="14"/>
      <c r="P72" s="14"/>
      <c r="Q72" s="14"/>
      <c r="R72" s="14"/>
      <c r="S72" s="14"/>
      <c r="T72" s="14"/>
      <c r="U72" s="14"/>
      <c r="V72" s="14"/>
      <c r="W72" s="14"/>
      <c r="X72" s="14"/>
      <c r="Y72" s="14"/>
    </row>
    <row r="73" spans="1:25" ht="57.6">
      <c r="A73" s="221">
        <v>72</v>
      </c>
      <c r="B73" s="32" t="s">
        <v>195</v>
      </c>
      <c r="C73" s="234">
        <v>37773</v>
      </c>
      <c r="D73" s="221" t="s">
        <v>196</v>
      </c>
      <c r="E73" s="221" t="s">
        <v>197</v>
      </c>
      <c r="F73" s="199"/>
      <c r="G73" s="14"/>
      <c r="H73" s="14"/>
      <c r="I73" s="14"/>
      <c r="J73" s="14"/>
      <c r="K73" s="14"/>
      <c r="L73" s="14"/>
      <c r="M73" s="14"/>
      <c r="N73" s="14"/>
      <c r="O73" s="14"/>
      <c r="P73" s="14"/>
      <c r="Q73" s="14"/>
      <c r="R73" s="14"/>
      <c r="S73" s="14"/>
      <c r="T73" s="14"/>
      <c r="U73" s="14"/>
      <c r="V73" s="14"/>
      <c r="W73" s="14"/>
      <c r="X73" s="14"/>
      <c r="Y73" s="14"/>
    </row>
    <row r="74" spans="1:25" ht="43.2">
      <c r="A74" s="221">
        <v>73</v>
      </c>
      <c r="B74" s="32" t="s">
        <v>198</v>
      </c>
      <c r="C74" s="234">
        <v>37627</v>
      </c>
      <c r="D74" s="221" t="s">
        <v>199</v>
      </c>
      <c r="E74" s="221" t="s">
        <v>7</v>
      </c>
      <c r="F74" s="199"/>
      <c r="G74" s="14"/>
      <c r="H74" s="14"/>
      <c r="I74" s="14"/>
      <c r="J74" s="14"/>
      <c r="K74" s="14"/>
      <c r="L74" s="14"/>
      <c r="M74" s="14"/>
      <c r="N74" s="14"/>
      <c r="O74" s="14"/>
      <c r="P74" s="14"/>
      <c r="Q74" s="14"/>
      <c r="R74" s="14"/>
      <c r="S74" s="14"/>
      <c r="T74" s="14"/>
      <c r="U74" s="14"/>
      <c r="V74" s="14"/>
      <c r="W74" s="14"/>
      <c r="X74" s="14"/>
      <c r="Y74" s="14"/>
    </row>
    <row r="75" spans="1:25" ht="158.4">
      <c r="A75" s="221">
        <v>74</v>
      </c>
      <c r="B75" s="32" t="s">
        <v>200</v>
      </c>
      <c r="C75" s="234">
        <v>37803</v>
      </c>
      <c r="D75" s="221" t="s">
        <v>201</v>
      </c>
      <c r="E75" s="221" t="s">
        <v>162</v>
      </c>
      <c r="F75" s="199"/>
      <c r="G75" s="14"/>
      <c r="H75" s="14"/>
      <c r="I75" s="14"/>
      <c r="J75" s="14"/>
      <c r="K75" s="14"/>
      <c r="L75" s="14"/>
      <c r="M75" s="14"/>
      <c r="N75" s="14"/>
      <c r="O75" s="14"/>
      <c r="P75" s="14"/>
      <c r="Q75" s="14"/>
      <c r="R75" s="14"/>
      <c r="S75" s="14"/>
      <c r="T75" s="14"/>
      <c r="U75" s="14"/>
      <c r="V75" s="14"/>
      <c r="W75" s="14"/>
      <c r="X75" s="14"/>
      <c r="Y75" s="14"/>
    </row>
    <row r="76" spans="1:25" ht="86.4">
      <c r="A76" s="221">
        <v>75</v>
      </c>
      <c r="B76" s="32" t="s">
        <v>202</v>
      </c>
      <c r="C76" s="234">
        <v>37803</v>
      </c>
      <c r="D76" s="221" t="s">
        <v>203</v>
      </c>
      <c r="E76" s="221" t="s">
        <v>204</v>
      </c>
      <c r="F76" s="199"/>
      <c r="G76" s="14"/>
      <c r="H76" s="14"/>
      <c r="I76" s="14"/>
      <c r="J76" s="14"/>
      <c r="K76" s="14"/>
      <c r="L76" s="14"/>
      <c r="M76" s="14"/>
      <c r="N76" s="14"/>
      <c r="O76" s="14"/>
      <c r="P76" s="14"/>
      <c r="Q76" s="14"/>
      <c r="R76" s="14"/>
      <c r="S76" s="14"/>
      <c r="T76" s="14"/>
      <c r="U76" s="14"/>
      <c r="V76" s="14"/>
      <c r="W76" s="14"/>
      <c r="X76" s="14"/>
      <c r="Y76" s="14"/>
    </row>
    <row r="77" spans="1:25" ht="129.6">
      <c r="A77" s="221">
        <v>76</v>
      </c>
      <c r="B77" s="32" t="s">
        <v>205</v>
      </c>
      <c r="C77" s="234">
        <v>37834</v>
      </c>
      <c r="D77" s="221" t="s">
        <v>206</v>
      </c>
      <c r="E77" s="221" t="s">
        <v>207</v>
      </c>
      <c r="F77" s="199"/>
      <c r="G77" s="14"/>
      <c r="H77" s="14"/>
      <c r="I77" s="14"/>
      <c r="J77" s="14"/>
      <c r="K77" s="14"/>
      <c r="L77" s="14"/>
      <c r="M77" s="14"/>
      <c r="N77" s="14"/>
      <c r="O77" s="14"/>
      <c r="P77" s="14"/>
      <c r="Q77" s="14"/>
      <c r="R77" s="14"/>
      <c r="S77" s="14"/>
      <c r="T77" s="14"/>
      <c r="U77" s="14"/>
      <c r="V77" s="14"/>
      <c r="W77" s="14"/>
      <c r="X77" s="14"/>
      <c r="Y77" s="14"/>
    </row>
    <row r="78" spans="1:25" ht="72">
      <c r="A78" s="221">
        <v>77</v>
      </c>
      <c r="B78" s="32" t="s">
        <v>208</v>
      </c>
      <c r="C78" s="234">
        <v>37834</v>
      </c>
      <c r="D78" s="221" t="s">
        <v>209</v>
      </c>
      <c r="E78" s="221" t="s">
        <v>142</v>
      </c>
      <c r="F78" s="199"/>
      <c r="G78" s="14"/>
      <c r="H78" s="14"/>
      <c r="I78" s="14"/>
      <c r="J78" s="14"/>
      <c r="K78" s="14"/>
      <c r="L78" s="14"/>
      <c r="M78" s="14"/>
      <c r="N78" s="14"/>
      <c r="O78" s="14"/>
      <c r="P78" s="14"/>
      <c r="Q78" s="14"/>
      <c r="R78" s="14"/>
      <c r="S78" s="14"/>
      <c r="T78" s="14"/>
      <c r="U78" s="14"/>
      <c r="V78" s="14"/>
      <c r="W78" s="14"/>
      <c r="X78" s="14"/>
      <c r="Y78" s="14"/>
    </row>
    <row r="79" spans="1:25" ht="72">
      <c r="A79" s="221">
        <v>78</v>
      </c>
      <c r="B79" s="32" t="s">
        <v>210</v>
      </c>
      <c r="C79" s="234">
        <v>37840</v>
      </c>
      <c r="D79" s="221" t="s">
        <v>211</v>
      </c>
      <c r="E79" s="221" t="s">
        <v>212</v>
      </c>
      <c r="F79" s="199"/>
      <c r="G79" s="14"/>
      <c r="H79" s="14"/>
      <c r="I79" s="14"/>
      <c r="J79" s="14"/>
      <c r="K79" s="14"/>
      <c r="L79" s="14"/>
      <c r="M79" s="14"/>
      <c r="N79" s="14"/>
      <c r="O79" s="14"/>
      <c r="P79" s="14"/>
      <c r="Q79" s="14"/>
      <c r="R79" s="14"/>
      <c r="S79" s="14"/>
      <c r="T79" s="14"/>
      <c r="U79" s="14"/>
      <c r="V79" s="14"/>
      <c r="W79" s="14"/>
      <c r="X79" s="14"/>
      <c r="Y79" s="14"/>
    </row>
    <row r="80" spans="1:25" ht="100.8">
      <c r="A80" s="221">
        <v>79</v>
      </c>
      <c r="B80" s="32" t="s">
        <v>213</v>
      </c>
      <c r="C80" s="234">
        <v>37866</v>
      </c>
      <c r="D80" s="221" t="s">
        <v>214</v>
      </c>
      <c r="E80" s="221" t="s">
        <v>215</v>
      </c>
      <c r="F80" s="199"/>
      <c r="G80" s="14"/>
      <c r="H80" s="14"/>
      <c r="I80" s="14"/>
      <c r="J80" s="14"/>
      <c r="K80" s="14"/>
      <c r="L80" s="14"/>
      <c r="M80" s="14"/>
      <c r="N80" s="14"/>
      <c r="O80" s="14"/>
      <c r="P80" s="14"/>
      <c r="Q80" s="14"/>
      <c r="R80" s="14"/>
      <c r="S80" s="14"/>
      <c r="T80" s="14"/>
      <c r="U80" s="14"/>
      <c r="V80" s="14"/>
      <c r="W80" s="14"/>
      <c r="X80" s="14"/>
      <c r="Y80" s="14"/>
    </row>
    <row r="81" spans="1:25" ht="100.8">
      <c r="A81" s="221">
        <v>80</v>
      </c>
      <c r="B81" s="32" t="s">
        <v>216</v>
      </c>
      <c r="C81" s="234">
        <v>37926</v>
      </c>
      <c r="D81" s="221" t="s">
        <v>217</v>
      </c>
      <c r="E81" s="221" t="s">
        <v>218</v>
      </c>
      <c r="F81" s="199"/>
      <c r="G81" s="14"/>
      <c r="H81" s="14"/>
      <c r="I81" s="14"/>
      <c r="J81" s="14"/>
      <c r="K81" s="14"/>
      <c r="L81" s="14"/>
      <c r="M81" s="14"/>
      <c r="N81" s="14"/>
      <c r="O81" s="14"/>
      <c r="P81" s="14"/>
      <c r="Q81" s="14"/>
      <c r="R81" s="14"/>
      <c r="S81" s="14"/>
      <c r="T81" s="14"/>
      <c r="U81" s="14"/>
      <c r="V81" s="14"/>
      <c r="W81" s="14"/>
      <c r="X81" s="14"/>
      <c r="Y81" s="14"/>
    </row>
    <row r="82" spans="1:25" ht="100.8">
      <c r="A82" s="221">
        <v>81</v>
      </c>
      <c r="B82" s="32" t="s">
        <v>219</v>
      </c>
      <c r="C82" s="234">
        <v>37956</v>
      </c>
      <c r="D82" s="221" t="s">
        <v>220</v>
      </c>
      <c r="E82" s="221" t="s">
        <v>221</v>
      </c>
      <c r="F82" s="199"/>
      <c r="G82" s="14"/>
      <c r="H82" s="14"/>
      <c r="I82" s="14"/>
      <c r="J82" s="14"/>
      <c r="K82" s="14"/>
      <c r="L82" s="14"/>
      <c r="M82" s="14"/>
      <c r="N82" s="14"/>
      <c r="O82" s="14"/>
      <c r="P82" s="14"/>
      <c r="Q82" s="14"/>
      <c r="R82" s="14"/>
      <c r="S82" s="14"/>
      <c r="T82" s="14"/>
      <c r="U82" s="14"/>
      <c r="V82" s="14"/>
      <c r="W82" s="14"/>
      <c r="X82" s="14"/>
      <c r="Y82" s="14"/>
    </row>
    <row r="83" spans="1:25" ht="172.8">
      <c r="A83" s="221">
        <v>82</v>
      </c>
      <c r="B83" s="32" t="s">
        <v>222</v>
      </c>
      <c r="C83" s="234">
        <v>37956</v>
      </c>
      <c r="D83" s="221" t="s">
        <v>223</v>
      </c>
      <c r="E83" s="221" t="s">
        <v>224</v>
      </c>
      <c r="F83" s="199"/>
      <c r="G83" s="14"/>
      <c r="H83" s="14"/>
      <c r="I83" s="14"/>
      <c r="J83" s="14"/>
      <c r="K83" s="14"/>
      <c r="L83" s="14"/>
      <c r="M83" s="14"/>
      <c r="N83" s="14"/>
      <c r="O83" s="14"/>
      <c r="P83" s="14"/>
      <c r="Q83" s="14"/>
      <c r="R83" s="14"/>
      <c r="S83" s="14"/>
      <c r="T83" s="14"/>
      <c r="U83" s="14"/>
      <c r="V83" s="14"/>
      <c r="W83" s="14"/>
      <c r="X83" s="14"/>
      <c r="Y83" s="14"/>
    </row>
    <row r="84" spans="1:25" ht="409.6">
      <c r="A84" s="221">
        <v>83</v>
      </c>
      <c r="B84" s="32" t="s">
        <v>225</v>
      </c>
      <c r="C84" s="234">
        <v>38047</v>
      </c>
      <c r="D84" s="221" t="s">
        <v>226</v>
      </c>
      <c r="E84" s="221" t="s">
        <v>227</v>
      </c>
      <c r="F84" s="199"/>
      <c r="G84" s="14"/>
      <c r="H84" s="14"/>
      <c r="I84" s="14"/>
      <c r="J84" s="14"/>
      <c r="K84" s="14"/>
      <c r="L84" s="14"/>
      <c r="M84" s="14"/>
      <c r="N84" s="14"/>
      <c r="O84" s="14"/>
      <c r="P84" s="14"/>
      <c r="Q84" s="14"/>
      <c r="R84" s="14"/>
      <c r="S84" s="14"/>
      <c r="T84" s="14"/>
      <c r="U84" s="14"/>
      <c r="V84" s="14"/>
      <c r="W84" s="14"/>
      <c r="X84" s="14"/>
      <c r="Y84" s="14"/>
    </row>
    <row r="85" spans="1:25" ht="129.6">
      <c r="A85" s="221">
        <v>84</v>
      </c>
      <c r="B85" s="32" t="s">
        <v>228</v>
      </c>
      <c r="C85" s="234">
        <v>38078</v>
      </c>
      <c r="D85" s="221" t="s">
        <v>229</v>
      </c>
      <c r="E85" s="221" t="s">
        <v>230</v>
      </c>
      <c r="F85" s="199"/>
      <c r="G85" s="14"/>
      <c r="H85" s="14"/>
      <c r="I85" s="14"/>
      <c r="J85" s="14"/>
      <c r="K85" s="14"/>
      <c r="L85" s="14"/>
      <c r="M85" s="14"/>
      <c r="N85" s="14"/>
      <c r="O85" s="14"/>
      <c r="P85" s="14"/>
      <c r="Q85" s="14"/>
      <c r="R85" s="14"/>
      <c r="S85" s="14"/>
      <c r="T85" s="14"/>
      <c r="U85" s="14"/>
      <c r="V85" s="14"/>
      <c r="W85" s="14"/>
      <c r="X85" s="14"/>
      <c r="Y85" s="14"/>
    </row>
    <row r="86" spans="1:25" ht="129.6">
      <c r="A86" s="221">
        <v>85</v>
      </c>
      <c r="B86" s="32" t="s">
        <v>231</v>
      </c>
      <c r="C86" s="234">
        <v>38141</v>
      </c>
      <c r="D86" s="221" t="s">
        <v>232</v>
      </c>
      <c r="E86" s="221" t="s">
        <v>96</v>
      </c>
      <c r="F86" s="199"/>
      <c r="G86" s="14"/>
      <c r="H86" s="14"/>
      <c r="I86" s="14"/>
      <c r="J86" s="14"/>
      <c r="K86" s="14"/>
      <c r="L86" s="14"/>
      <c r="M86" s="14"/>
      <c r="N86" s="14"/>
      <c r="O86" s="14"/>
      <c r="P86" s="14"/>
      <c r="Q86" s="14"/>
      <c r="R86" s="14"/>
      <c r="S86" s="14"/>
      <c r="T86" s="14"/>
      <c r="U86" s="14"/>
      <c r="V86" s="14"/>
      <c r="W86" s="14"/>
      <c r="X86" s="14"/>
      <c r="Y86" s="14"/>
    </row>
    <row r="87" spans="1:25" ht="57.6">
      <c r="A87" s="221">
        <v>86</v>
      </c>
      <c r="B87" s="32" t="s">
        <v>233</v>
      </c>
      <c r="C87" s="234">
        <v>38152</v>
      </c>
      <c r="D87" s="221" t="s">
        <v>234</v>
      </c>
      <c r="E87" s="221" t="s">
        <v>21</v>
      </c>
      <c r="F87" s="199"/>
      <c r="G87" s="14"/>
      <c r="H87" s="14"/>
      <c r="I87" s="14"/>
      <c r="J87" s="14"/>
      <c r="K87" s="14"/>
      <c r="L87" s="14"/>
      <c r="M87" s="14"/>
      <c r="N87" s="14"/>
      <c r="O87" s="14"/>
      <c r="P87" s="14"/>
      <c r="Q87" s="14"/>
      <c r="R87" s="14"/>
      <c r="S87" s="14"/>
      <c r="T87" s="14"/>
      <c r="U87" s="14"/>
      <c r="V87" s="14"/>
      <c r="W87" s="14"/>
      <c r="X87" s="14"/>
      <c r="Y87" s="14"/>
    </row>
    <row r="88" spans="1:25" ht="129.6">
      <c r="A88" s="221">
        <v>87</v>
      </c>
      <c r="B88" s="32" t="s">
        <v>235</v>
      </c>
      <c r="C88" s="234">
        <v>38231</v>
      </c>
      <c r="D88" s="221" t="s">
        <v>236</v>
      </c>
      <c r="E88" s="221" t="s">
        <v>227</v>
      </c>
      <c r="F88" s="199"/>
      <c r="G88" s="14"/>
      <c r="H88" s="14"/>
      <c r="I88" s="14"/>
      <c r="J88" s="14"/>
      <c r="K88" s="14"/>
      <c r="L88" s="14"/>
      <c r="M88" s="14"/>
      <c r="N88" s="14"/>
      <c r="O88" s="14"/>
      <c r="P88" s="14"/>
      <c r="Q88" s="14"/>
      <c r="R88" s="14"/>
      <c r="S88" s="14"/>
      <c r="T88" s="14"/>
      <c r="U88" s="14"/>
      <c r="V88" s="14"/>
      <c r="W88" s="14"/>
      <c r="X88" s="14"/>
      <c r="Y88" s="14"/>
    </row>
    <row r="89" spans="1:25" ht="115.2">
      <c r="A89" s="221">
        <v>88</v>
      </c>
      <c r="B89" s="32" t="s">
        <v>237</v>
      </c>
      <c r="C89" s="234">
        <v>38231</v>
      </c>
      <c r="D89" s="221" t="s">
        <v>238</v>
      </c>
      <c r="E89" s="221" t="s">
        <v>239</v>
      </c>
      <c r="F89" s="199"/>
      <c r="G89" s="14"/>
      <c r="H89" s="14"/>
      <c r="I89" s="14"/>
      <c r="J89" s="14"/>
      <c r="K89" s="14"/>
      <c r="L89" s="14"/>
      <c r="M89" s="14"/>
      <c r="N89" s="14"/>
      <c r="O89" s="14"/>
      <c r="P89" s="14"/>
      <c r="Q89" s="14"/>
      <c r="R89" s="14"/>
      <c r="S89" s="14"/>
      <c r="T89" s="14"/>
      <c r="U89" s="14"/>
      <c r="V89" s="14"/>
      <c r="W89" s="14"/>
      <c r="X89" s="14"/>
      <c r="Y89" s="14"/>
    </row>
    <row r="90" spans="1:25" ht="72">
      <c r="A90" s="221">
        <v>89</v>
      </c>
      <c r="B90" s="32" t="s">
        <v>240</v>
      </c>
      <c r="C90" s="234">
        <v>38384</v>
      </c>
      <c r="D90" s="221" t="s">
        <v>241</v>
      </c>
      <c r="E90" s="221" t="s">
        <v>242</v>
      </c>
      <c r="F90" s="199"/>
      <c r="G90" s="14"/>
      <c r="H90" s="14"/>
      <c r="I90" s="14"/>
      <c r="J90" s="14"/>
      <c r="K90" s="14"/>
      <c r="L90" s="14"/>
      <c r="M90" s="14"/>
      <c r="N90" s="14"/>
      <c r="O90" s="14"/>
      <c r="P90" s="14"/>
      <c r="Q90" s="14"/>
      <c r="R90" s="14"/>
      <c r="S90" s="14"/>
      <c r="T90" s="14"/>
      <c r="U90" s="14"/>
      <c r="V90" s="14"/>
      <c r="W90" s="14"/>
      <c r="X90" s="14"/>
      <c r="Y90" s="14"/>
    </row>
    <row r="91" spans="1:25" ht="72">
      <c r="A91" s="221">
        <v>90</v>
      </c>
      <c r="B91" s="32" t="s">
        <v>243</v>
      </c>
      <c r="C91" s="234">
        <v>38412</v>
      </c>
      <c r="D91" s="221" t="s">
        <v>244</v>
      </c>
      <c r="E91" s="221" t="s">
        <v>245</v>
      </c>
      <c r="F91" s="199"/>
      <c r="G91" s="14"/>
      <c r="H91" s="14"/>
      <c r="I91" s="14"/>
      <c r="J91" s="14"/>
      <c r="K91" s="14"/>
      <c r="L91" s="14"/>
      <c r="M91" s="14"/>
      <c r="N91" s="14"/>
      <c r="O91" s="14"/>
      <c r="P91" s="14"/>
      <c r="Q91" s="14"/>
      <c r="R91" s="14"/>
      <c r="S91" s="14"/>
      <c r="T91" s="14"/>
      <c r="U91" s="14"/>
      <c r="V91" s="14"/>
      <c r="W91" s="14"/>
      <c r="X91" s="14"/>
      <c r="Y91" s="14"/>
    </row>
    <row r="92" spans="1:25" ht="100.8">
      <c r="A92" s="221">
        <v>91</v>
      </c>
      <c r="B92" s="32" t="s">
        <v>246</v>
      </c>
      <c r="C92" s="234">
        <v>38412</v>
      </c>
      <c r="D92" s="221" t="s">
        <v>247</v>
      </c>
      <c r="E92" s="221" t="s">
        <v>248</v>
      </c>
      <c r="F92" s="199"/>
      <c r="G92" s="14"/>
      <c r="H92" s="14"/>
      <c r="I92" s="14"/>
      <c r="J92" s="14"/>
      <c r="K92" s="14"/>
      <c r="L92" s="14"/>
      <c r="M92" s="14"/>
      <c r="N92" s="14"/>
      <c r="O92" s="14"/>
      <c r="P92" s="14"/>
      <c r="Q92" s="14"/>
      <c r="R92" s="14"/>
      <c r="S92" s="14"/>
      <c r="T92" s="14"/>
      <c r="U92" s="14"/>
      <c r="V92" s="14"/>
      <c r="W92" s="14"/>
      <c r="X92" s="14"/>
      <c r="Y92" s="14"/>
    </row>
    <row r="93" spans="1:25" ht="187.2">
      <c r="A93" s="221">
        <v>92</v>
      </c>
      <c r="B93" s="32" t="s">
        <v>249</v>
      </c>
      <c r="C93" s="234">
        <v>38460</v>
      </c>
      <c r="D93" s="221" t="s">
        <v>250</v>
      </c>
      <c r="E93" s="221" t="s">
        <v>7</v>
      </c>
      <c r="F93" s="199"/>
      <c r="G93" s="14"/>
      <c r="H93" s="14"/>
      <c r="I93" s="14"/>
      <c r="J93" s="14"/>
      <c r="K93" s="14"/>
      <c r="L93" s="14"/>
      <c r="M93" s="14"/>
      <c r="N93" s="14"/>
      <c r="O93" s="14"/>
      <c r="P93" s="14"/>
      <c r="Q93" s="14"/>
      <c r="R93" s="14"/>
      <c r="S93" s="14"/>
      <c r="T93" s="14"/>
      <c r="U93" s="14"/>
      <c r="V93" s="14"/>
      <c r="W93" s="14"/>
      <c r="X93" s="14"/>
      <c r="Y93" s="14"/>
    </row>
    <row r="94" spans="1:25" ht="158.4">
      <c r="A94" s="221">
        <v>93</v>
      </c>
      <c r="B94" s="32" t="s">
        <v>251</v>
      </c>
      <c r="C94" s="234">
        <v>38473</v>
      </c>
      <c r="D94" s="221" t="s">
        <v>252</v>
      </c>
      <c r="E94" s="221" t="s">
        <v>253</v>
      </c>
      <c r="F94" s="199"/>
      <c r="G94" s="14"/>
      <c r="H94" s="14"/>
      <c r="I94" s="14"/>
      <c r="J94" s="14"/>
      <c r="K94" s="14"/>
      <c r="L94" s="14"/>
      <c r="M94" s="14"/>
      <c r="N94" s="14"/>
      <c r="O94" s="14"/>
      <c r="P94" s="14"/>
      <c r="Q94" s="14"/>
      <c r="R94" s="14"/>
      <c r="S94" s="14"/>
      <c r="T94" s="14"/>
      <c r="U94" s="14"/>
      <c r="V94" s="14"/>
      <c r="W94" s="14"/>
      <c r="X94" s="14"/>
      <c r="Y94" s="14"/>
    </row>
    <row r="95" spans="1:25" ht="86.4">
      <c r="A95" s="221">
        <v>94</v>
      </c>
      <c r="B95" s="32" t="s">
        <v>254</v>
      </c>
      <c r="C95" s="234">
        <v>38504</v>
      </c>
      <c r="D95" s="221" t="s">
        <v>255</v>
      </c>
      <c r="E95" s="221" t="s">
        <v>256</v>
      </c>
      <c r="F95" s="199"/>
      <c r="G95" s="14"/>
      <c r="H95" s="14"/>
      <c r="I95" s="14"/>
      <c r="J95" s="14"/>
      <c r="K95" s="14"/>
      <c r="L95" s="14"/>
      <c r="M95" s="14"/>
      <c r="N95" s="14"/>
      <c r="O95" s="14"/>
      <c r="P95" s="14"/>
      <c r="Q95" s="14"/>
      <c r="R95" s="14"/>
      <c r="S95" s="14"/>
      <c r="T95" s="14"/>
      <c r="U95" s="14"/>
      <c r="V95" s="14"/>
      <c r="W95" s="14"/>
      <c r="X95" s="14"/>
      <c r="Y95" s="14"/>
    </row>
    <row r="96" spans="1:25" ht="172.8">
      <c r="A96" s="221">
        <v>95</v>
      </c>
      <c r="B96" s="32" t="s">
        <v>257</v>
      </c>
      <c r="C96" s="234">
        <v>38523</v>
      </c>
      <c r="D96" s="221" t="s">
        <v>258</v>
      </c>
      <c r="E96" s="221" t="s">
        <v>7</v>
      </c>
      <c r="F96" s="199"/>
      <c r="G96" s="14"/>
      <c r="H96" s="14"/>
      <c r="I96" s="14"/>
      <c r="J96" s="14"/>
      <c r="K96" s="14"/>
      <c r="L96" s="14"/>
      <c r="M96" s="14"/>
      <c r="N96" s="14"/>
      <c r="O96" s="14"/>
      <c r="P96" s="14"/>
      <c r="Q96" s="14"/>
      <c r="R96" s="14"/>
      <c r="S96" s="14"/>
      <c r="T96" s="14"/>
      <c r="U96" s="14"/>
      <c r="V96" s="14"/>
      <c r="W96" s="14"/>
      <c r="X96" s="14"/>
      <c r="Y96" s="14"/>
    </row>
    <row r="97" spans="1:25" ht="172.8">
      <c r="A97" s="221">
        <v>96</v>
      </c>
      <c r="B97" s="32" t="s">
        <v>259</v>
      </c>
      <c r="C97" s="234">
        <v>38534</v>
      </c>
      <c r="D97" s="221" t="s">
        <v>260</v>
      </c>
      <c r="E97" s="221" t="s">
        <v>21</v>
      </c>
      <c r="F97" s="199"/>
      <c r="G97" s="14"/>
      <c r="H97" s="14"/>
      <c r="I97" s="14"/>
      <c r="J97" s="14"/>
      <c r="K97" s="14"/>
      <c r="L97" s="14"/>
      <c r="M97" s="14"/>
      <c r="N97" s="14"/>
      <c r="O97" s="14"/>
      <c r="P97" s="14"/>
      <c r="Q97" s="14"/>
      <c r="R97" s="14"/>
      <c r="S97" s="14"/>
      <c r="T97" s="14"/>
      <c r="U97" s="14"/>
      <c r="V97" s="14"/>
      <c r="W97" s="14"/>
      <c r="X97" s="14"/>
      <c r="Y97" s="14"/>
    </row>
    <row r="98" spans="1:25" ht="129.6">
      <c r="A98" s="221">
        <v>97</v>
      </c>
      <c r="B98" s="32" t="s">
        <v>261</v>
      </c>
      <c r="C98" s="234">
        <v>38534</v>
      </c>
      <c r="D98" s="221" t="s">
        <v>262</v>
      </c>
      <c r="E98" s="221" t="s">
        <v>263</v>
      </c>
      <c r="F98" s="199"/>
      <c r="G98" s="14"/>
      <c r="H98" s="14"/>
      <c r="I98" s="14"/>
      <c r="J98" s="14"/>
      <c r="K98" s="14"/>
      <c r="L98" s="14"/>
      <c r="M98" s="14"/>
      <c r="N98" s="14"/>
      <c r="O98" s="14"/>
      <c r="P98" s="14"/>
      <c r="Q98" s="14"/>
      <c r="R98" s="14"/>
      <c r="S98" s="14"/>
      <c r="T98" s="14"/>
      <c r="U98" s="14"/>
      <c r="V98" s="14"/>
      <c r="W98" s="14"/>
      <c r="X98" s="14"/>
      <c r="Y98" s="14"/>
    </row>
    <row r="99" spans="1:25" ht="201.6">
      <c r="A99" s="221">
        <v>98</v>
      </c>
      <c r="B99" s="32" t="s">
        <v>264</v>
      </c>
      <c r="C99" s="234">
        <v>38749</v>
      </c>
      <c r="D99" s="221" t="s">
        <v>265</v>
      </c>
      <c r="E99" s="221" t="s">
        <v>266</v>
      </c>
      <c r="F99" s="199"/>
      <c r="G99" s="14"/>
      <c r="H99" s="14"/>
      <c r="I99" s="14"/>
      <c r="J99" s="14"/>
      <c r="K99" s="14"/>
      <c r="L99" s="14"/>
      <c r="M99" s="14"/>
      <c r="N99" s="14"/>
      <c r="O99" s="14"/>
      <c r="P99" s="14"/>
      <c r="Q99" s="14"/>
      <c r="R99" s="14"/>
      <c r="S99" s="14"/>
      <c r="T99" s="14"/>
      <c r="U99" s="14"/>
      <c r="V99" s="14"/>
      <c r="W99" s="14"/>
      <c r="X99" s="14"/>
      <c r="Y99" s="14"/>
    </row>
    <row r="100" spans="1:25" ht="216">
      <c r="A100" s="221">
        <v>99</v>
      </c>
      <c r="B100" s="32" t="s">
        <v>267</v>
      </c>
      <c r="C100" s="234">
        <v>38749</v>
      </c>
      <c r="D100" s="221" t="s">
        <v>268</v>
      </c>
      <c r="E100" s="221" t="s">
        <v>269</v>
      </c>
      <c r="F100" s="199"/>
      <c r="G100" s="14"/>
      <c r="H100" s="14"/>
      <c r="I100" s="14"/>
      <c r="J100" s="14"/>
      <c r="K100" s="14"/>
      <c r="L100" s="14"/>
      <c r="M100" s="14"/>
      <c r="N100" s="14"/>
      <c r="O100" s="14"/>
      <c r="P100" s="14"/>
      <c r="Q100" s="14"/>
      <c r="R100" s="14"/>
      <c r="S100" s="14"/>
      <c r="T100" s="14"/>
      <c r="U100" s="14"/>
      <c r="V100" s="14"/>
      <c r="W100" s="14"/>
      <c r="X100" s="14"/>
      <c r="Y100" s="14"/>
    </row>
    <row r="101" spans="1:25" ht="72">
      <c r="A101" s="221">
        <v>100</v>
      </c>
      <c r="B101" s="32" t="s">
        <v>270</v>
      </c>
      <c r="C101" s="234">
        <v>38777</v>
      </c>
      <c r="D101" s="221" t="s">
        <v>271</v>
      </c>
      <c r="E101" s="221" t="s">
        <v>272</v>
      </c>
      <c r="F101" s="199"/>
      <c r="G101" s="14"/>
      <c r="H101" s="14"/>
      <c r="I101" s="14"/>
      <c r="J101" s="14"/>
      <c r="K101" s="14"/>
      <c r="L101" s="14"/>
      <c r="M101" s="14"/>
      <c r="N101" s="14"/>
      <c r="O101" s="14"/>
      <c r="P101" s="14"/>
      <c r="Q101" s="14"/>
      <c r="R101" s="14"/>
      <c r="S101" s="14"/>
      <c r="T101" s="14"/>
      <c r="U101" s="14"/>
      <c r="V101" s="14"/>
      <c r="W101" s="14"/>
      <c r="X101" s="14"/>
      <c r="Y101" s="14"/>
    </row>
    <row r="102" spans="1:25" ht="216">
      <c r="A102" s="221">
        <v>101</v>
      </c>
      <c r="B102" s="32" t="s">
        <v>273</v>
      </c>
      <c r="C102" s="234">
        <v>38721</v>
      </c>
      <c r="D102" s="221" t="s">
        <v>274</v>
      </c>
      <c r="E102" s="221" t="s">
        <v>275</v>
      </c>
      <c r="F102" s="199"/>
      <c r="G102" s="14"/>
      <c r="H102" s="14"/>
      <c r="I102" s="14"/>
      <c r="J102" s="14"/>
      <c r="K102" s="14"/>
      <c r="L102" s="14"/>
      <c r="M102" s="14"/>
      <c r="N102" s="14"/>
      <c r="O102" s="14"/>
      <c r="P102" s="14"/>
      <c r="Q102" s="14"/>
      <c r="R102" s="14"/>
      <c r="S102" s="14"/>
      <c r="T102" s="14"/>
      <c r="U102" s="14"/>
      <c r="V102" s="14"/>
      <c r="W102" s="14"/>
      <c r="X102" s="14"/>
      <c r="Y102" s="14"/>
    </row>
    <row r="103" spans="1:25" ht="216">
      <c r="A103" s="221">
        <v>102</v>
      </c>
      <c r="B103" s="32" t="s">
        <v>276</v>
      </c>
      <c r="C103" s="234">
        <v>38930</v>
      </c>
      <c r="D103" s="221" t="s">
        <v>277</v>
      </c>
      <c r="E103" s="221" t="s">
        <v>278</v>
      </c>
      <c r="F103" s="199"/>
      <c r="G103" s="14"/>
      <c r="H103" s="14"/>
      <c r="I103" s="14"/>
      <c r="J103" s="14"/>
      <c r="K103" s="14"/>
      <c r="L103" s="14"/>
      <c r="M103" s="14"/>
      <c r="N103" s="14"/>
      <c r="O103" s="14"/>
      <c r="P103" s="14"/>
      <c r="Q103" s="14"/>
      <c r="R103" s="14"/>
      <c r="S103" s="14"/>
      <c r="T103" s="14"/>
      <c r="U103" s="14"/>
      <c r="V103" s="14"/>
      <c r="W103" s="14"/>
      <c r="X103" s="14"/>
      <c r="Y103" s="14"/>
    </row>
    <row r="104" spans="1:25" ht="129.6">
      <c r="A104" s="221">
        <v>103</v>
      </c>
      <c r="B104" s="32" t="s">
        <v>279</v>
      </c>
      <c r="C104" s="234">
        <v>38991</v>
      </c>
      <c r="D104" s="221" t="s">
        <v>280</v>
      </c>
      <c r="E104" s="221" t="s">
        <v>281</v>
      </c>
      <c r="F104" s="199"/>
      <c r="G104" s="14"/>
      <c r="H104" s="14"/>
      <c r="I104" s="14"/>
      <c r="J104" s="14"/>
      <c r="K104" s="14"/>
      <c r="L104" s="14"/>
      <c r="M104" s="14"/>
      <c r="N104" s="14"/>
      <c r="O104" s="14"/>
      <c r="P104" s="14"/>
      <c r="Q104" s="14"/>
      <c r="R104" s="14"/>
      <c r="S104" s="14"/>
      <c r="T104" s="14"/>
      <c r="U104" s="14"/>
      <c r="V104" s="14"/>
      <c r="W104" s="14"/>
      <c r="X104" s="14"/>
      <c r="Y104" s="14"/>
    </row>
    <row r="105" spans="1:25" ht="316.8">
      <c r="A105" s="221">
        <v>104</v>
      </c>
      <c r="B105" s="32" t="s">
        <v>282</v>
      </c>
      <c r="C105" s="234">
        <v>39052</v>
      </c>
      <c r="D105" s="221" t="s">
        <v>283</v>
      </c>
      <c r="E105" s="221" t="s">
        <v>284</v>
      </c>
      <c r="F105" s="199"/>
      <c r="G105" s="14"/>
      <c r="H105" s="14"/>
      <c r="I105" s="14"/>
      <c r="J105" s="14"/>
      <c r="K105" s="14"/>
      <c r="L105" s="14"/>
      <c r="M105" s="14"/>
      <c r="N105" s="14"/>
      <c r="O105" s="14"/>
      <c r="P105" s="14"/>
      <c r="Q105" s="14"/>
      <c r="R105" s="14"/>
      <c r="S105" s="14"/>
      <c r="T105" s="14"/>
      <c r="U105" s="14"/>
      <c r="V105" s="14"/>
      <c r="W105" s="14"/>
      <c r="X105" s="14"/>
      <c r="Y105" s="14"/>
    </row>
    <row r="106" spans="1:25" ht="172.8">
      <c r="A106" s="221">
        <v>105</v>
      </c>
      <c r="B106" s="32" t="s">
        <v>285</v>
      </c>
      <c r="C106" s="234">
        <v>39142</v>
      </c>
      <c r="D106" s="221" t="s">
        <v>286</v>
      </c>
      <c r="E106" s="221" t="s">
        <v>287</v>
      </c>
      <c r="F106" s="199"/>
      <c r="G106" s="14"/>
      <c r="H106" s="14"/>
      <c r="I106" s="14"/>
      <c r="J106" s="14"/>
      <c r="K106" s="14"/>
      <c r="L106" s="14"/>
      <c r="M106" s="14"/>
      <c r="N106" s="14"/>
      <c r="O106" s="14"/>
      <c r="P106" s="14"/>
      <c r="Q106" s="14"/>
      <c r="R106" s="14"/>
      <c r="S106" s="14"/>
      <c r="T106" s="14"/>
      <c r="U106" s="14"/>
      <c r="V106" s="14"/>
      <c r="W106" s="14"/>
      <c r="X106" s="14"/>
      <c r="Y106" s="14"/>
    </row>
    <row r="107" spans="1:25" ht="100.8">
      <c r="A107" s="221">
        <v>106</v>
      </c>
      <c r="B107" s="32" t="s">
        <v>288</v>
      </c>
      <c r="C107" s="234">
        <v>39264</v>
      </c>
      <c r="D107" s="221" t="s">
        <v>289</v>
      </c>
      <c r="E107" s="221" t="s">
        <v>290</v>
      </c>
      <c r="F107" s="199"/>
      <c r="G107" s="14"/>
      <c r="H107" s="14"/>
      <c r="I107" s="14"/>
      <c r="J107" s="14"/>
      <c r="K107" s="14"/>
      <c r="L107" s="14"/>
      <c r="M107" s="14"/>
      <c r="N107" s="14"/>
      <c r="O107" s="14"/>
      <c r="P107" s="14"/>
      <c r="Q107" s="14"/>
      <c r="R107" s="14"/>
      <c r="S107" s="14"/>
      <c r="T107" s="14"/>
      <c r="U107" s="14"/>
      <c r="V107" s="14"/>
      <c r="W107" s="14"/>
      <c r="X107" s="14"/>
      <c r="Y107" s="14"/>
    </row>
    <row r="108" spans="1:25" ht="187.2">
      <c r="A108" s="221">
        <v>107</v>
      </c>
      <c r="B108" s="32" t="s">
        <v>291</v>
      </c>
      <c r="C108" s="234">
        <v>39417</v>
      </c>
      <c r="D108" s="221" t="s">
        <v>292</v>
      </c>
      <c r="E108" s="221" t="s">
        <v>293</v>
      </c>
      <c r="F108" s="199"/>
      <c r="G108" s="14"/>
      <c r="H108" s="14"/>
      <c r="I108" s="14"/>
      <c r="J108" s="14"/>
      <c r="K108" s="14"/>
      <c r="L108" s="14"/>
      <c r="M108" s="14"/>
      <c r="N108" s="14"/>
      <c r="O108" s="14"/>
      <c r="P108" s="14"/>
      <c r="Q108" s="14"/>
      <c r="R108" s="14"/>
      <c r="S108" s="14"/>
      <c r="T108" s="14"/>
      <c r="U108" s="14"/>
      <c r="V108" s="14"/>
      <c r="W108" s="14"/>
      <c r="X108" s="14"/>
      <c r="Y108" s="14"/>
    </row>
    <row r="109" spans="1:25" ht="115.2">
      <c r="A109" s="221">
        <v>108</v>
      </c>
      <c r="B109" s="32" t="s">
        <v>294</v>
      </c>
      <c r="C109" s="234">
        <v>39417</v>
      </c>
      <c r="D109" s="221" t="s">
        <v>295</v>
      </c>
      <c r="E109" s="221" t="s">
        <v>296</v>
      </c>
      <c r="F109" s="199"/>
      <c r="G109" s="14"/>
      <c r="H109" s="14"/>
      <c r="I109" s="14"/>
      <c r="J109" s="14"/>
      <c r="K109" s="14"/>
      <c r="L109" s="14"/>
      <c r="M109" s="14"/>
      <c r="N109" s="14"/>
      <c r="O109" s="14"/>
      <c r="P109" s="14"/>
      <c r="Q109" s="14"/>
      <c r="R109" s="14"/>
      <c r="S109" s="14"/>
      <c r="T109" s="14"/>
      <c r="U109" s="14"/>
      <c r="V109" s="14"/>
      <c r="W109" s="14"/>
      <c r="X109" s="14"/>
      <c r="Y109" s="14"/>
    </row>
    <row r="110" spans="1:25" ht="172.8">
      <c r="A110" s="221">
        <v>109</v>
      </c>
      <c r="B110" s="32" t="s">
        <v>297</v>
      </c>
      <c r="C110" s="234">
        <v>39479</v>
      </c>
      <c r="D110" s="221" t="s">
        <v>298</v>
      </c>
      <c r="E110" s="221" t="s">
        <v>299</v>
      </c>
      <c r="F110" s="199"/>
      <c r="G110" s="14"/>
      <c r="H110" s="14"/>
      <c r="I110" s="14"/>
      <c r="J110" s="14"/>
      <c r="K110" s="14"/>
      <c r="L110" s="14"/>
      <c r="M110" s="14"/>
      <c r="N110" s="14"/>
      <c r="O110" s="14"/>
      <c r="P110" s="14"/>
      <c r="Q110" s="14"/>
      <c r="R110" s="14"/>
      <c r="S110" s="14"/>
      <c r="T110" s="14"/>
      <c r="U110" s="14"/>
      <c r="V110" s="14"/>
      <c r="W110" s="14"/>
      <c r="X110" s="14"/>
      <c r="Y110" s="14"/>
    </row>
    <row r="111" spans="1:25" ht="158.4">
      <c r="A111" s="221">
        <v>110</v>
      </c>
      <c r="B111" s="32" t="s">
        <v>300</v>
      </c>
      <c r="C111" s="234">
        <v>39498</v>
      </c>
      <c r="D111" s="221" t="s">
        <v>301</v>
      </c>
      <c r="E111" s="221" t="s">
        <v>7</v>
      </c>
      <c r="F111" s="199"/>
      <c r="G111" s="14"/>
      <c r="H111" s="14"/>
      <c r="I111" s="14"/>
      <c r="J111" s="14"/>
      <c r="K111" s="14"/>
      <c r="L111" s="14"/>
      <c r="M111" s="14"/>
      <c r="N111" s="14"/>
      <c r="O111" s="14"/>
      <c r="P111" s="14"/>
      <c r="Q111" s="14"/>
      <c r="R111" s="14"/>
      <c r="S111" s="14"/>
      <c r="T111" s="14"/>
      <c r="U111" s="14"/>
      <c r="V111" s="14"/>
      <c r="W111" s="14"/>
      <c r="X111" s="14"/>
      <c r="Y111" s="14"/>
    </row>
    <row r="112" spans="1:25" ht="115.2">
      <c r="A112" s="221">
        <v>111</v>
      </c>
      <c r="B112" s="32" t="s">
        <v>302</v>
      </c>
      <c r="C112" s="234">
        <v>39600</v>
      </c>
      <c r="D112" s="221" t="s">
        <v>303</v>
      </c>
      <c r="E112" s="221" t="s">
        <v>304</v>
      </c>
      <c r="F112" s="199"/>
      <c r="G112" s="14"/>
      <c r="H112" s="14"/>
      <c r="I112" s="14"/>
      <c r="J112" s="14"/>
      <c r="K112" s="14"/>
      <c r="L112" s="14"/>
      <c r="M112" s="14"/>
      <c r="N112" s="14"/>
      <c r="O112" s="14"/>
      <c r="P112" s="14"/>
      <c r="Q112" s="14"/>
      <c r="R112" s="14"/>
      <c r="S112" s="14"/>
      <c r="T112" s="14"/>
      <c r="U112" s="14"/>
      <c r="V112" s="14"/>
      <c r="W112" s="14"/>
      <c r="X112" s="14"/>
      <c r="Y112" s="14"/>
    </row>
    <row r="113" spans="1:25" ht="244.8">
      <c r="A113" s="221">
        <v>112</v>
      </c>
      <c r="B113" s="32" t="s">
        <v>305</v>
      </c>
      <c r="C113" s="234">
        <v>39457</v>
      </c>
      <c r="D113" s="221" t="s">
        <v>306</v>
      </c>
      <c r="E113" s="221" t="s">
        <v>307</v>
      </c>
      <c r="F113" s="199"/>
      <c r="G113" s="14"/>
      <c r="H113" s="14"/>
      <c r="I113" s="14"/>
      <c r="J113" s="14"/>
      <c r="K113" s="14"/>
      <c r="L113" s="14"/>
      <c r="M113" s="14"/>
      <c r="N113" s="14"/>
      <c r="O113" s="14"/>
      <c r="P113" s="14"/>
      <c r="Q113" s="14"/>
      <c r="R113" s="14"/>
      <c r="S113" s="14"/>
      <c r="T113" s="14"/>
      <c r="U113" s="14"/>
      <c r="V113" s="14"/>
      <c r="W113" s="14"/>
      <c r="X113" s="14"/>
      <c r="Y113" s="14"/>
    </row>
    <row r="114" spans="1:25" ht="230.4">
      <c r="A114" s="221">
        <v>113</v>
      </c>
      <c r="B114" s="32" t="s">
        <v>308</v>
      </c>
      <c r="C114" s="234">
        <v>39726</v>
      </c>
      <c r="D114" s="221" t="s">
        <v>309</v>
      </c>
      <c r="E114" s="221" t="s">
        <v>310</v>
      </c>
      <c r="F114" s="199"/>
      <c r="G114" s="14"/>
      <c r="H114" s="14"/>
      <c r="I114" s="14"/>
      <c r="J114" s="14"/>
      <c r="K114" s="14"/>
      <c r="L114" s="14"/>
      <c r="M114" s="14"/>
      <c r="N114" s="14"/>
      <c r="O114" s="14"/>
      <c r="P114" s="14"/>
      <c r="Q114" s="14"/>
      <c r="R114" s="14"/>
      <c r="S114" s="14"/>
      <c r="T114" s="14"/>
      <c r="U114" s="14"/>
      <c r="V114" s="14"/>
      <c r="W114" s="14"/>
      <c r="X114" s="14"/>
      <c r="Y114" s="14"/>
    </row>
    <row r="115" spans="1:25" ht="201.6">
      <c r="A115" s="221">
        <v>114</v>
      </c>
      <c r="B115" s="32" t="s">
        <v>311</v>
      </c>
      <c r="C115" s="234">
        <v>39783</v>
      </c>
      <c r="D115" s="221" t="s">
        <v>312</v>
      </c>
      <c r="E115" s="221" t="s">
        <v>313</v>
      </c>
      <c r="F115" s="199"/>
      <c r="G115" s="14"/>
      <c r="H115" s="14"/>
      <c r="I115" s="14"/>
      <c r="J115" s="14"/>
      <c r="K115" s="14"/>
      <c r="L115" s="14"/>
      <c r="M115" s="14"/>
      <c r="N115" s="14"/>
      <c r="O115" s="14"/>
      <c r="P115" s="14"/>
      <c r="Q115" s="14"/>
      <c r="R115" s="14"/>
      <c r="S115" s="14"/>
      <c r="T115" s="14"/>
      <c r="U115" s="14"/>
      <c r="V115" s="14"/>
      <c r="W115" s="14"/>
      <c r="X115" s="14"/>
      <c r="Y115" s="14"/>
    </row>
    <row r="116" spans="1:25" ht="187.2">
      <c r="A116" s="221">
        <v>115</v>
      </c>
      <c r="B116" s="32" t="s">
        <v>314</v>
      </c>
      <c r="C116" s="234">
        <v>40210</v>
      </c>
      <c r="D116" s="221" t="s">
        <v>315</v>
      </c>
      <c r="E116" s="221" t="s">
        <v>316</v>
      </c>
      <c r="F116" s="199"/>
      <c r="G116" s="14"/>
      <c r="H116" s="14"/>
      <c r="I116" s="14"/>
      <c r="J116" s="14"/>
      <c r="K116" s="14"/>
      <c r="L116" s="14"/>
      <c r="M116" s="14"/>
      <c r="N116" s="14"/>
      <c r="O116" s="14"/>
      <c r="P116" s="14"/>
      <c r="Q116" s="14"/>
      <c r="R116" s="14"/>
      <c r="S116" s="14"/>
      <c r="T116" s="14"/>
      <c r="U116" s="14"/>
      <c r="V116" s="14"/>
      <c r="W116" s="14"/>
      <c r="X116" s="14"/>
      <c r="Y116" s="14"/>
    </row>
    <row r="117" spans="1:25" ht="100.8">
      <c r="A117" s="221">
        <v>116</v>
      </c>
      <c r="B117" s="32" t="s">
        <v>317</v>
      </c>
      <c r="C117" s="234">
        <v>40184</v>
      </c>
      <c r="D117" s="221" t="s">
        <v>318</v>
      </c>
      <c r="E117" s="221" t="s">
        <v>319</v>
      </c>
      <c r="F117" s="199"/>
      <c r="G117" s="14"/>
      <c r="H117" s="14"/>
      <c r="I117" s="14"/>
      <c r="J117" s="14"/>
      <c r="K117" s="14"/>
      <c r="L117" s="14"/>
      <c r="M117" s="14"/>
      <c r="N117" s="14"/>
      <c r="O117" s="14"/>
      <c r="P117" s="14"/>
      <c r="Q117" s="14"/>
      <c r="R117" s="14"/>
      <c r="S117" s="14"/>
      <c r="T117" s="14"/>
      <c r="U117" s="14"/>
      <c r="V117" s="14"/>
      <c r="W117" s="14"/>
      <c r="X117" s="14"/>
      <c r="Y117" s="14"/>
    </row>
    <row r="118" spans="1:25" ht="72">
      <c r="A118" s="221">
        <v>117</v>
      </c>
      <c r="B118" s="32" t="s">
        <v>320</v>
      </c>
      <c r="C118" s="234">
        <v>40360</v>
      </c>
      <c r="D118" s="221" t="s">
        <v>321</v>
      </c>
      <c r="E118" s="221" t="s">
        <v>322</v>
      </c>
      <c r="F118" s="199"/>
      <c r="G118" s="14"/>
      <c r="H118" s="14"/>
      <c r="I118" s="14"/>
      <c r="J118" s="14"/>
      <c r="K118" s="14"/>
      <c r="L118" s="14"/>
      <c r="M118" s="14"/>
      <c r="N118" s="14"/>
      <c r="O118" s="14"/>
      <c r="P118" s="14"/>
      <c r="Q118" s="14"/>
      <c r="R118" s="14"/>
      <c r="S118" s="14"/>
      <c r="T118" s="14"/>
      <c r="U118" s="14"/>
      <c r="V118" s="14"/>
      <c r="W118" s="14"/>
      <c r="X118" s="14"/>
      <c r="Y118" s="14"/>
    </row>
    <row r="119" spans="1:25" ht="28.8">
      <c r="A119" s="221">
        <v>118</v>
      </c>
      <c r="B119" s="32" t="s">
        <v>323</v>
      </c>
      <c r="C119" s="234">
        <v>40544</v>
      </c>
      <c r="D119" s="221" t="s">
        <v>324</v>
      </c>
      <c r="E119" s="221" t="s">
        <v>325</v>
      </c>
      <c r="F119" s="199"/>
      <c r="G119" s="14"/>
      <c r="H119" s="14"/>
      <c r="I119" s="14"/>
      <c r="J119" s="14"/>
      <c r="K119" s="14"/>
      <c r="L119" s="14"/>
      <c r="M119" s="14"/>
      <c r="N119" s="14"/>
      <c r="O119" s="14"/>
      <c r="P119" s="14"/>
      <c r="Q119" s="14"/>
      <c r="R119" s="14"/>
      <c r="S119" s="14"/>
      <c r="T119" s="14"/>
      <c r="U119" s="14"/>
      <c r="V119" s="14"/>
      <c r="W119" s="14"/>
      <c r="X119" s="14"/>
      <c r="Y119" s="14"/>
    </row>
    <row r="120" spans="1:25" ht="172.8">
      <c r="A120" s="221">
        <v>119</v>
      </c>
      <c r="B120" s="32" t="s">
        <v>326</v>
      </c>
      <c r="C120" s="234">
        <v>40575</v>
      </c>
      <c r="D120" s="221" t="s">
        <v>327</v>
      </c>
      <c r="E120" s="221" t="s">
        <v>328</v>
      </c>
      <c r="F120" s="199"/>
      <c r="G120" s="14"/>
      <c r="H120" s="14"/>
      <c r="I120" s="14"/>
      <c r="J120" s="14"/>
      <c r="K120" s="14"/>
      <c r="L120" s="14"/>
      <c r="M120" s="14"/>
      <c r="N120" s="14"/>
      <c r="O120" s="14"/>
      <c r="P120" s="14"/>
      <c r="Q120" s="14"/>
      <c r="R120" s="14"/>
      <c r="S120" s="14"/>
      <c r="T120" s="14"/>
      <c r="U120" s="14"/>
      <c r="V120" s="14"/>
      <c r="W120" s="14"/>
      <c r="X120" s="14"/>
      <c r="Y120" s="14"/>
    </row>
    <row r="121" spans="1:25" ht="172.8">
      <c r="A121" s="221">
        <v>120</v>
      </c>
      <c r="B121" s="32" t="s">
        <v>329</v>
      </c>
      <c r="C121" s="234">
        <v>40575</v>
      </c>
      <c r="D121" s="221" t="s">
        <v>330</v>
      </c>
      <c r="E121" s="221" t="s">
        <v>331</v>
      </c>
      <c r="F121" s="199"/>
      <c r="G121" s="14"/>
      <c r="H121" s="14"/>
      <c r="I121" s="14"/>
      <c r="J121" s="14"/>
      <c r="K121" s="14"/>
      <c r="L121" s="14"/>
      <c r="M121" s="14"/>
      <c r="N121" s="14"/>
      <c r="O121" s="14"/>
      <c r="P121" s="14"/>
      <c r="Q121" s="14"/>
      <c r="R121" s="14"/>
      <c r="S121" s="14"/>
      <c r="T121" s="14"/>
      <c r="U121" s="14"/>
      <c r="V121" s="14"/>
      <c r="W121" s="14"/>
      <c r="X121" s="14"/>
      <c r="Y121" s="14"/>
    </row>
    <row r="122" spans="1:25" ht="374.4">
      <c r="A122" s="221">
        <v>121</v>
      </c>
      <c r="B122" s="32" t="s">
        <v>332</v>
      </c>
      <c r="C122" s="234">
        <v>40603</v>
      </c>
      <c r="D122" s="221" t="s">
        <v>333</v>
      </c>
      <c r="E122" s="221" t="s">
        <v>334</v>
      </c>
      <c r="F122" s="199"/>
      <c r="G122" s="14"/>
      <c r="H122" s="14"/>
      <c r="I122" s="14"/>
      <c r="J122" s="14"/>
      <c r="K122" s="14"/>
      <c r="L122" s="14"/>
      <c r="M122" s="14"/>
      <c r="N122" s="14"/>
      <c r="O122" s="14"/>
      <c r="P122" s="14"/>
      <c r="Q122" s="14"/>
      <c r="R122" s="14"/>
      <c r="S122" s="14"/>
      <c r="T122" s="14"/>
      <c r="U122" s="14"/>
      <c r="V122" s="14"/>
      <c r="W122" s="14"/>
      <c r="X122" s="14"/>
      <c r="Y122" s="14"/>
    </row>
    <row r="123" spans="1:25" ht="187.2">
      <c r="A123" s="221">
        <v>122</v>
      </c>
      <c r="B123" s="32" t="s">
        <v>335</v>
      </c>
      <c r="C123" s="234">
        <v>40603</v>
      </c>
      <c r="D123" s="221" t="s">
        <v>336</v>
      </c>
      <c r="E123" s="221" t="s">
        <v>337</v>
      </c>
      <c r="F123" s="199"/>
      <c r="G123" s="14"/>
      <c r="H123" s="14"/>
      <c r="I123" s="14"/>
      <c r="J123" s="14"/>
      <c r="K123" s="14"/>
      <c r="L123" s="14"/>
      <c r="M123" s="14"/>
      <c r="N123" s="14"/>
      <c r="O123" s="14"/>
      <c r="P123" s="14"/>
      <c r="Q123" s="14"/>
      <c r="R123" s="14"/>
      <c r="S123" s="14"/>
      <c r="T123" s="14"/>
      <c r="U123" s="14"/>
      <c r="V123" s="14"/>
      <c r="W123" s="14"/>
      <c r="X123" s="14"/>
      <c r="Y123" s="14"/>
    </row>
    <row r="124" spans="1:25" ht="244.8">
      <c r="A124" s="221">
        <v>123</v>
      </c>
      <c r="B124" s="32" t="s">
        <v>338</v>
      </c>
      <c r="C124" s="234">
        <v>40603</v>
      </c>
      <c r="D124" s="221" t="s">
        <v>339</v>
      </c>
      <c r="E124" s="221" t="s">
        <v>21</v>
      </c>
      <c r="F124" s="199"/>
      <c r="G124" s="14"/>
      <c r="H124" s="14"/>
      <c r="I124" s="14"/>
      <c r="J124" s="14"/>
      <c r="K124" s="14"/>
      <c r="L124" s="14"/>
      <c r="M124" s="14"/>
      <c r="N124" s="14"/>
      <c r="O124" s="14"/>
      <c r="P124" s="14"/>
      <c r="Q124" s="14"/>
      <c r="R124" s="14"/>
      <c r="S124" s="14"/>
      <c r="T124" s="14"/>
      <c r="U124" s="14"/>
      <c r="V124" s="14"/>
      <c r="W124" s="14"/>
      <c r="X124" s="14"/>
      <c r="Y124" s="14"/>
    </row>
    <row r="125" spans="1:25" ht="302.39999999999998">
      <c r="A125" s="221">
        <v>124</v>
      </c>
      <c r="B125" s="32" t="s">
        <v>340</v>
      </c>
      <c r="C125" s="234">
        <v>40603</v>
      </c>
      <c r="D125" s="221" t="s">
        <v>341</v>
      </c>
      <c r="E125" s="221" t="s">
        <v>21</v>
      </c>
      <c r="F125" s="199"/>
      <c r="G125" s="14"/>
      <c r="H125" s="14"/>
      <c r="I125" s="14"/>
      <c r="J125" s="14"/>
      <c r="K125" s="14"/>
      <c r="L125" s="14"/>
      <c r="M125" s="14"/>
      <c r="N125" s="14"/>
      <c r="O125" s="14"/>
      <c r="P125" s="14"/>
      <c r="Q125" s="14"/>
      <c r="R125" s="14"/>
      <c r="S125" s="14"/>
      <c r="T125" s="14"/>
      <c r="U125" s="14"/>
      <c r="V125" s="14"/>
      <c r="W125" s="14"/>
      <c r="X125" s="14"/>
      <c r="Y125" s="14"/>
    </row>
    <row r="126" spans="1:25" ht="129.6">
      <c r="A126" s="221">
        <v>125</v>
      </c>
      <c r="B126" s="32" t="s">
        <v>342</v>
      </c>
      <c r="C126" s="234">
        <v>40664</v>
      </c>
      <c r="D126" s="221" t="s">
        <v>343</v>
      </c>
      <c r="E126" s="221" t="s">
        <v>21</v>
      </c>
      <c r="F126" s="199"/>
      <c r="G126" s="14"/>
      <c r="H126" s="14"/>
      <c r="I126" s="14"/>
      <c r="J126" s="14"/>
      <c r="K126" s="14"/>
      <c r="L126" s="14"/>
      <c r="M126" s="14"/>
      <c r="N126" s="14"/>
      <c r="O126" s="14"/>
      <c r="P126" s="14"/>
      <c r="Q126" s="14"/>
      <c r="R126" s="14"/>
      <c r="S126" s="14"/>
      <c r="T126" s="14"/>
      <c r="U126" s="14"/>
      <c r="V126" s="14"/>
      <c r="W126" s="14"/>
      <c r="X126" s="14"/>
      <c r="Y126" s="14"/>
    </row>
    <row r="127" spans="1:25" ht="129.6">
      <c r="A127" s="221">
        <v>126</v>
      </c>
      <c r="B127" s="32" t="s">
        <v>344</v>
      </c>
      <c r="C127" s="234">
        <v>40664</v>
      </c>
      <c r="D127" s="221" t="s">
        <v>345</v>
      </c>
      <c r="E127" s="221" t="s">
        <v>21</v>
      </c>
      <c r="F127" s="199"/>
      <c r="G127" s="14"/>
      <c r="H127" s="14"/>
      <c r="I127" s="14"/>
      <c r="J127" s="14"/>
      <c r="K127" s="14"/>
      <c r="L127" s="14"/>
      <c r="M127" s="14"/>
      <c r="N127" s="14"/>
      <c r="O127" s="14"/>
      <c r="P127" s="14"/>
      <c r="Q127" s="14"/>
      <c r="R127" s="14"/>
      <c r="S127" s="14"/>
      <c r="T127" s="14"/>
      <c r="U127" s="14"/>
      <c r="V127" s="14"/>
      <c r="W127" s="14"/>
      <c r="X127" s="14"/>
      <c r="Y127" s="14"/>
    </row>
    <row r="128" spans="1:25" ht="129.6">
      <c r="A128" s="221">
        <v>127</v>
      </c>
      <c r="B128" s="32" t="s">
        <v>346</v>
      </c>
      <c r="C128" s="234">
        <v>40664</v>
      </c>
      <c r="D128" s="221" t="s">
        <v>347</v>
      </c>
      <c r="E128" s="221" t="s">
        <v>21</v>
      </c>
      <c r="F128" s="199"/>
      <c r="G128" s="14"/>
      <c r="H128" s="14"/>
      <c r="I128" s="14"/>
      <c r="J128" s="14"/>
      <c r="K128" s="14"/>
      <c r="L128" s="14"/>
      <c r="M128" s="14"/>
      <c r="N128" s="14"/>
      <c r="O128" s="14"/>
      <c r="P128" s="14"/>
      <c r="Q128" s="14"/>
      <c r="R128" s="14"/>
      <c r="S128" s="14"/>
      <c r="T128" s="14"/>
      <c r="U128" s="14"/>
      <c r="V128" s="14"/>
      <c r="W128" s="14"/>
      <c r="X128" s="14"/>
      <c r="Y128" s="14"/>
    </row>
    <row r="129" spans="1:25" ht="374.4">
      <c r="A129" s="221">
        <v>128</v>
      </c>
      <c r="B129" s="32" t="s">
        <v>348</v>
      </c>
      <c r="C129" s="234">
        <v>40664</v>
      </c>
      <c r="D129" s="221" t="s">
        <v>349</v>
      </c>
      <c r="E129" s="221" t="s">
        <v>21</v>
      </c>
      <c r="F129" s="199"/>
      <c r="G129" s="14"/>
      <c r="H129" s="14"/>
      <c r="I129" s="14"/>
      <c r="J129" s="14"/>
      <c r="K129" s="14"/>
      <c r="L129" s="14"/>
      <c r="M129" s="14"/>
      <c r="N129" s="14"/>
      <c r="O129" s="14"/>
      <c r="P129" s="14"/>
      <c r="Q129" s="14"/>
      <c r="R129" s="14"/>
      <c r="S129" s="14"/>
      <c r="T129" s="14"/>
      <c r="U129" s="14"/>
      <c r="V129" s="14"/>
      <c r="W129" s="14"/>
      <c r="X129" s="14"/>
      <c r="Y129" s="14"/>
    </row>
    <row r="130" spans="1:25" ht="28.8">
      <c r="A130" s="221" t="s">
        <v>350</v>
      </c>
      <c r="B130" s="32" t="s">
        <v>351</v>
      </c>
      <c r="C130" s="234">
        <v>40781</v>
      </c>
      <c r="D130" s="221" t="s">
        <v>352</v>
      </c>
      <c r="E130" s="221" t="s">
        <v>353</v>
      </c>
      <c r="F130" s="199"/>
      <c r="G130" s="14"/>
      <c r="H130" s="14"/>
      <c r="I130" s="14"/>
      <c r="J130" s="14"/>
      <c r="K130" s="14"/>
      <c r="L130" s="14"/>
      <c r="M130" s="14"/>
      <c r="N130" s="14"/>
      <c r="O130" s="14"/>
      <c r="P130" s="14"/>
      <c r="Q130" s="14"/>
      <c r="R130" s="14"/>
      <c r="S130" s="14"/>
      <c r="T130" s="14"/>
      <c r="U130" s="14"/>
      <c r="V130" s="14"/>
      <c r="W130" s="14"/>
      <c r="X130" s="14"/>
      <c r="Y130" s="14"/>
    </row>
    <row r="131" spans="1:25" ht="28.8">
      <c r="A131" s="221" t="s">
        <v>354</v>
      </c>
      <c r="B131" s="32" t="s">
        <v>355</v>
      </c>
      <c r="C131" s="234">
        <v>40781</v>
      </c>
      <c r="D131" s="221" t="s">
        <v>352</v>
      </c>
      <c r="E131" s="221" t="s">
        <v>356</v>
      </c>
      <c r="F131" s="199"/>
      <c r="G131" s="14"/>
      <c r="H131" s="14"/>
      <c r="I131" s="14"/>
      <c r="J131" s="14"/>
      <c r="K131" s="14"/>
      <c r="L131" s="14"/>
      <c r="M131" s="14"/>
      <c r="N131" s="14"/>
      <c r="O131" s="14"/>
      <c r="P131" s="14"/>
      <c r="Q131" s="14"/>
      <c r="R131" s="14"/>
      <c r="S131" s="14"/>
      <c r="T131" s="14"/>
      <c r="U131" s="14"/>
      <c r="V131" s="14"/>
      <c r="W131" s="14"/>
      <c r="X131" s="14"/>
      <c r="Y131" s="14"/>
    </row>
    <row r="132" spans="1:25" ht="28.8">
      <c r="A132" s="221" t="s">
        <v>357</v>
      </c>
      <c r="B132" s="32" t="s">
        <v>358</v>
      </c>
      <c r="C132" s="234">
        <v>40781</v>
      </c>
      <c r="D132" s="221" t="s">
        <v>352</v>
      </c>
      <c r="E132" s="221" t="s">
        <v>359</v>
      </c>
      <c r="F132" s="199"/>
      <c r="G132" s="14"/>
      <c r="H132" s="14"/>
      <c r="I132" s="14"/>
      <c r="J132" s="14"/>
      <c r="K132" s="14"/>
      <c r="L132" s="14"/>
      <c r="M132" s="14"/>
      <c r="N132" s="14"/>
      <c r="O132" s="14"/>
      <c r="P132" s="14"/>
      <c r="Q132" s="14"/>
      <c r="R132" s="14"/>
      <c r="S132" s="14"/>
      <c r="T132" s="14"/>
      <c r="U132" s="14"/>
      <c r="V132" s="14"/>
      <c r="W132" s="14"/>
      <c r="X132" s="14"/>
      <c r="Y132" s="14"/>
    </row>
    <row r="133" spans="1:25" ht="331.2">
      <c r="A133" s="221">
        <v>129</v>
      </c>
      <c r="B133" s="32" t="s">
        <v>360</v>
      </c>
      <c r="C133" s="234">
        <v>40940</v>
      </c>
      <c r="D133" s="221" t="s">
        <v>361</v>
      </c>
      <c r="E133" s="221" t="s">
        <v>362</v>
      </c>
      <c r="F133" s="199"/>
      <c r="G133" s="14"/>
      <c r="H133" s="14"/>
      <c r="I133" s="14"/>
      <c r="J133" s="14"/>
      <c r="K133" s="14"/>
      <c r="L133" s="14"/>
      <c r="M133" s="14"/>
      <c r="N133" s="14"/>
      <c r="O133" s="14"/>
      <c r="P133" s="14"/>
      <c r="Q133" s="14"/>
      <c r="R133" s="14"/>
      <c r="S133" s="14"/>
      <c r="T133" s="14"/>
      <c r="U133" s="14"/>
      <c r="V133" s="14"/>
      <c r="W133" s="14"/>
      <c r="X133" s="14"/>
      <c r="Y133" s="14"/>
    </row>
    <row r="134" spans="1:25" ht="28.8">
      <c r="A134" s="221" t="s">
        <v>363</v>
      </c>
      <c r="B134" s="32" t="s">
        <v>364</v>
      </c>
      <c r="C134" s="234">
        <v>40549</v>
      </c>
      <c r="D134" s="221" t="s">
        <v>365</v>
      </c>
      <c r="E134" s="221" t="s">
        <v>366</v>
      </c>
      <c r="F134" s="199"/>
      <c r="G134" s="14"/>
      <c r="H134" s="14"/>
      <c r="I134" s="14"/>
      <c r="J134" s="14"/>
      <c r="K134" s="14"/>
      <c r="L134" s="14"/>
      <c r="M134" s="14"/>
      <c r="N134" s="14"/>
      <c r="O134" s="14"/>
      <c r="P134" s="14"/>
      <c r="Q134" s="14"/>
      <c r="R134" s="14"/>
      <c r="S134" s="14"/>
      <c r="T134" s="14"/>
      <c r="U134" s="14"/>
      <c r="V134" s="14"/>
      <c r="W134" s="14"/>
      <c r="X134" s="14"/>
      <c r="Y134" s="14"/>
    </row>
    <row r="135" spans="1:25" ht="43.2">
      <c r="A135" s="221" t="s">
        <v>367</v>
      </c>
      <c r="B135" s="32" t="s">
        <v>368</v>
      </c>
      <c r="C135" s="234">
        <v>40551</v>
      </c>
      <c r="D135" s="221" t="s">
        <v>365</v>
      </c>
      <c r="E135" s="221" t="s">
        <v>369</v>
      </c>
      <c r="F135" s="199"/>
      <c r="G135" s="14"/>
      <c r="H135" s="14"/>
      <c r="I135" s="14"/>
      <c r="J135" s="14"/>
      <c r="K135" s="14"/>
      <c r="L135" s="14"/>
      <c r="M135" s="14"/>
      <c r="N135" s="14"/>
      <c r="O135" s="14"/>
      <c r="P135" s="14"/>
      <c r="Q135" s="14"/>
      <c r="R135" s="14"/>
      <c r="S135" s="14"/>
      <c r="T135" s="14"/>
      <c r="U135" s="14"/>
      <c r="V135" s="14"/>
      <c r="W135" s="14"/>
      <c r="X135" s="14"/>
      <c r="Y135" s="14"/>
    </row>
    <row r="136" spans="1:25">
      <c r="A136" s="221" t="s">
        <v>370</v>
      </c>
      <c r="B136" s="32" t="s">
        <v>371</v>
      </c>
      <c r="C136" s="234">
        <v>40548</v>
      </c>
      <c r="D136" s="221" t="s">
        <v>372</v>
      </c>
      <c r="E136" s="221" t="s">
        <v>373</v>
      </c>
      <c r="F136" s="199"/>
      <c r="G136" s="14"/>
      <c r="H136" s="14"/>
      <c r="I136" s="14"/>
      <c r="J136" s="14"/>
      <c r="K136" s="14"/>
      <c r="L136" s="14"/>
      <c r="M136" s="14"/>
      <c r="N136" s="14"/>
      <c r="O136" s="14"/>
      <c r="P136" s="14"/>
      <c r="Q136" s="14"/>
      <c r="R136" s="14"/>
      <c r="S136" s="14"/>
      <c r="T136" s="14"/>
      <c r="U136" s="14"/>
      <c r="V136" s="14"/>
      <c r="W136" s="14"/>
      <c r="X136" s="14"/>
      <c r="Y136" s="14"/>
    </row>
    <row r="137" spans="1:25" ht="360">
      <c r="A137" s="221">
        <v>130</v>
      </c>
      <c r="B137" s="32" t="s">
        <v>374</v>
      </c>
      <c r="C137" s="234">
        <v>40664</v>
      </c>
      <c r="D137" s="221" t="s">
        <v>375</v>
      </c>
      <c r="E137" s="221" t="s">
        <v>21</v>
      </c>
      <c r="F137" s="199"/>
      <c r="G137" s="14"/>
      <c r="H137" s="14"/>
      <c r="I137" s="14"/>
      <c r="J137" s="14"/>
      <c r="K137" s="14"/>
      <c r="L137" s="14"/>
      <c r="M137" s="14"/>
      <c r="N137" s="14"/>
      <c r="O137" s="14"/>
      <c r="P137" s="14"/>
      <c r="Q137" s="14"/>
      <c r="R137" s="14"/>
      <c r="S137" s="14"/>
      <c r="T137" s="14"/>
      <c r="U137" s="14"/>
      <c r="V137" s="14"/>
      <c r="W137" s="14"/>
      <c r="X137" s="14"/>
      <c r="Y137" s="14"/>
    </row>
    <row r="138" spans="1:25">
      <c r="A138" s="221" t="s">
        <v>376</v>
      </c>
      <c r="B138" s="32" t="s">
        <v>377</v>
      </c>
      <c r="C138" s="234">
        <v>40781</v>
      </c>
      <c r="D138" s="221" t="s">
        <v>378</v>
      </c>
      <c r="E138" s="221" t="s">
        <v>21</v>
      </c>
      <c r="F138" s="199"/>
      <c r="G138" s="14"/>
      <c r="H138" s="14"/>
      <c r="I138" s="14"/>
      <c r="J138" s="14"/>
      <c r="K138" s="14"/>
      <c r="L138" s="14"/>
      <c r="M138" s="14"/>
      <c r="N138" s="14"/>
      <c r="O138" s="14"/>
      <c r="P138" s="14"/>
      <c r="Q138" s="14"/>
      <c r="R138" s="14"/>
      <c r="S138" s="14"/>
      <c r="T138" s="14"/>
      <c r="U138" s="14"/>
      <c r="V138" s="14"/>
      <c r="W138" s="14"/>
      <c r="X138" s="14"/>
      <c r="Y138" s="14"/>
    </row>
    <row r="139" spans="1:25">
      <c r="A139" s="221" t="s">
        <v>379</v>
      </c>
      <c r="B139" s="32" t="s">
        <v>380</v>
      </c>
      <c r="C139" s="234">
        <v>40781</v>
      </c>
      <c r="D139" s="221" t="s">
        <v>378</v>
      </c>
      <c r="E139" s="221" t="s">
        <v>21</v>
      </c>
      <c r="F139" s="199"/>
      <c r="G139" s="14"/>
      <c r="H139" s="14"/>
      <c r="I139" s="14"/>
      <c r="J139" s="14"/>
      <c r="K139" s="14"/>
      <c r="L139" s="14"/>
      <c r="M139" s="14"/>
      <c r="N139" s="14"/>
      <c r="O139" s="14"/>
      <c r="P139" s="14"/>
      <c r="Q139" s="14"/>
      <c r="R139" s="14"/>
      <c r="S139" s="14"/>
      <c r="T139" s="14"/>
      <c r="U139" s="14"/>
      <c r="V139" s="14"/>
      <c r="W139" s="14"/>
      <c r="X139" s="14"/>
      <c r="Y139" s="14"/>
    </row>
    <row r="140" spans="1:25">
      <c r="A140" s="221" t="s">
        <v>381</v>
      </c>
      <c r="B140" s="32" t="s">
        <v>382</v>
      </c>
      <c r="C140" s="234">
        <v>40781</v>
      </c>
      <c r="D140" s="221" t="s">
        <v>378</v>
      </c>
      <c r="E140" s="221" t="s">
        <v>21</v>
      </c>
      <c r="F140" s="199"/>
      <c r="G140" s="14"/>
      <c r="H140" s="14"/>
      <c r="I140" s="14"/>
      <c r="J140" s="14"/>
      <c r="K140" s="14"/>
      <c r="L140" s="14"/>
      <c r="M140" s="14"/>
      <c r="N140" s="14"/>
      <c r="O140" s="14"/>
      <c r="P140" s="14"/>
      <c r="Q140" s="14"/>
      <c r="R140" s="14"/>
      <c r="S140" s="14"/>
      <c r="T140" s="14"/>
      <c r="U140" s="14"/>
      <c r="V140" s="14"/>
      <c r="W140" s="14"/>
      <c r="X140" s="14"/>
      <c r="Y140" s="14"/>
    </row>
    <row r="141" spans="1:25" ht="158.4">
      <c r="A141" s="221"/>
      <c r="B141" s="32" t="s">
        <v>383</v>
      </c>
      <c r="C141" s="234">
        <v>40695</v>
      </c>
      <c r="D141" s="221" t="s">
        <v>384</v>
      </c>
      <c r="E141" s="221" t="s">
        <v>385</v>
      </c>
      <c r="F141" s="199"/>
      <c r="G141" s="14"/>
      <c r="H141" s="14"/>
      <c r="I141" s="14"/>
      <c r="J141" s="14"/>
      <c r="K141" s="14"/>
      <c r="L141" s="14"/>
      <c r="M141" s="14"/>
      <c r="N141" s="14"/>
      <c r="O141" s="14"/>
      <c r="P141" s="14"/>
      <c r="Q141" s="14"/>
      <c r="R141" s="14"/>
      <c r="S141" s="14"/>
      <c r="T141" s="14"/>
      <c r="U141" s="14"/>
      <c r="V141" s="14"/>
      <c r="W141" s="14"/>
      <c r="X141" s="14"/>
      <c r="Y141" s="14"/>
    </row>
    <row r="142" spans="1:25" ht="144">
      <c r="A142" s="221">
        <v>131</v>
      </c>
      <c r="B142" s="32" t="s">
        <v>386</v>
      </c>
      <c r="C142" s="234">
        <v>40787</v>
      </c>
      <c r="D142" s="221" t="s">
        <v>387</v>
      </c>
      <c r="E142" s="221" t="s">
        <v>388</v>
      </c>
      <c r="F142" s="199"/>
      <c r="G142" s="14"/>
      <c r="H142" s="14"/>
      <c r="I142" s="14"/>
      <c r="J142" s="14"/>
      <c r="K142" s="14"/>
      <c r="L142" s="14"/>
      <c r="M142" s="14"/>
      <c r="N142" s="14"/>
      <c r="O142" s="14"/>
      <c r="P142" s="14"/>
      <c r="Q142" s="14"/>
      <c r="R142" s="14"/>
      <c r="S142" s="14"/>
      <c r="T142" s="14"/>
      <c r="U142" s="14"/>
      <c r="V142" s="14"/>
      <c r="W142" s="14"/>
      <c r="X142" s="14"/>
      <c r="Y142" s="14"/>
    </row>
    <row r="143" spans="1:25" ht="187.2">
      <c r="A143" s="221">
        <v>132</v>
      </c>
      <c r="B143" s="32" t="s">
        <v>389</v>
      </c>
      <c r="C143" s="234">
        <v>40787</v>
      </c>
      <c r="D143" s="221" t="s">
        <v>390</v>
      </c>
      <c r="E143" s="221" t="s">
        <v>391</v>
      </c>
      <c r="F143" s="199"/>
      <c r="G143" s="14"/>
      <c r="H143" s="14"/>
      <c r="I143" s="14"/>
      <c r="J143" s="14"/>
      <c r="K143" s="14"/>
      <c r="L143" s="14"/>
      <c r="M143" s="14"/>
      <c r="N143" s="14"/>
      <c r="O143" s="14"/>
      <c r="P143" s="14"/>
      <c r="Q143" s="14"/>
      <c r="R143" s="14"/>
      <c r="S143" s="14"/>
      <c r="T143" s="14"/>
      <c r="U143" s="14"/>
      <c r="V143" s="14"/>
      <c r="W143" s="14"/>
      <c r="X143" s="14"/>
      <c r="Y143" s="14"/>
    </row>
    <row r="144" spans="1:25" ht="100.8">
      <c r="A144" s="221">
        <v>133</v>
      </c>
      <c r="B144" s="32" t="s">
        <v>392</v>
      </c>
      <c r="C144" s="234">
        <v>40848</v>
      </c>
      <c r="D144" s="221" t="s">
        <v>393</v>
      </c>
      <c r="E144" s="221" t="s">
        <v>394</v>
      </c>
      <c r="F144" s="199"/>
      <c r="G144" s="14"/>
      <c r="H144" s="14"/>
      <c r="I144" s="14"/>
      <c r="J144" s="14"/>
      <c r="K144" s="14"/>
      <c r="L144" s="14"/>
      <c r="M144" s="14"/>
      <c r="N144" s="14"/>
      <c r="O144" s="14"/>
      <c r="P144" s="14"/>
      <c r="Q144" s="14"/>
      <c r="R144" s="14"/>
      <c r="S144" s="14"/>
      <c r="T144" s="14"/>
      <c r="U144" s="14"/>
      <c r="V144" s="14"/>
      <c r="W144" s="14"/>
      <c r="X144" s="14"/>
      <c r="Y144" s="14"/>
    </row>
    <row r="145" spans="1:25" ht="244.8">
      <c r="A145" s="221">
        <v>134</v>
      </c>
      <c r="B145" s="32" t="s">
        <v>395</v>
      </c>
      <c r="C145" s="234">
        <v>40848</v>
      </c>
      <c r="D145" s="221" t="s">
        <v>396</v>
      </c>
      <c r="E145" s="221" t="s">
        <v>397</v>
      </c>
      <c r="F145" s="199"/>
      <c r="G145" s="14"/>
      <c r="H145" s="14"/>
      <c r="I145" s="14"/>
      <c r="J145" s="14"/>
      <c r="K145" s="14"/>
      <c r="L145" s="14"/>
      <c r="M145" s="14"/>
      <c r="N145" s="14"/>
      <c r="O145" s="14"/>
      <c r="P145" s="14"/>
      <c r="Q145" s="14"/>
      <c r="R145" s="14"/>
      <c r="S145" s="14"/>
      <c r="T145" s="14"/>
      <c r="U145" s="14"/>
      <c r="V145" s="14"/>
      <c r="W145" s="14"/>
      <c r="X145" s="14"/>
      <c r="Y145" s="14"/>
    </row>
    <row r="146" spans="1:25" ht="72">
      <c r="A146" s="221">
        <v>135</v>
      </c>
      <c r="B146" s="32" t="s">
        <v>398</v>
      </c>
      <c r="C146" s="234">
        <v>40878</v>
      </c>
      <c r="D146" s="221" t="s">
        <v>399</v>
      </c>
      <c r="E146" s="221" t="s">
        <v>400</v>
      </c>
      <c r="F146" s="199"/>
      <c r="G146" s="14"/>
      <c r="H146" s="14"/>
      <c r="I146" s="14"/>
      <c r="J146" s="14"/>
      <c r="K146" s="14"/>
      <c r="L146" s="14"/>
      <c r="M146" s="14"/>
      <c r="N146" s="14"/>
      <c r="O146" s="14"/>
      <c r="P146" s="14"/>
      <c r="Q146" s="14"/>
      <c r="R146" s="14"/>
      <c r="S146" s="14"/>
      <c r="T146" s="14"/>
      <c r="U146" s="14"/>
      <c r="V146" s="14"/>
      <c r="W146" s="14"/>
      <c r="X146" s="14"/>
      <c r="Y146" s="14"/>
    </row>
    <row r="147" spans="1:25" ht="409.2" customHeight="1">
      <c r="A147" s="221">
        <v>136</v>
      </c>
      <c r="B147" s="32" t="s">
        <v>401</v>
      </c>
      <c r="C147" s="234">
        <v>40878</v>
      </c>
      <c r="D147" s="221" t="s">
        <v>402</v>
      </c>
      <c r="E147" s="221" t="s">
        <v>403</v>
      </c>
      <c r="F147" s="199"/>
      <c r="G147" s="14"/>
      <c r="H147" s="14"/>
      <c r="I147" s="14"/>
      <c r="J147" s="14"/>
      <c r="K147" s="14"/>
      <c r="L147" s="14"/>
      <c r="M147" s="14"/>
      <c r="N147" s="14"/>
      <c r="O147" s="14"/>
      <c r="P147" s="14"/>
      <c r="Q147" s="14"/>
      <c r="R147" s="14"/>
      <c r="S147" s="14"/>
      <c r="T147" s="14"/>
      <c r="U147" s="14"/>
      <c r="V147" s="14"/>
      <c r="W147" s="14"/>
      <c r="X147" s="14"/>
      <c r="Y147" s="14"/>
    </row>
    <row r="148" spans="1:25" ht="259.2">
      <c r="A148" s="221">
        <v>137</v>
      </c>
      <c r="B148" s="32" t="s">
        <v>360</v>
      </c>
      <c r="C148" s="234">
        <v>40940</v>
      </c>
      <c r="D148" s="221" t="s">
        <v>404</v>
      </c>
      <c r="E148" s="221" t="s">
        <v>405</v>
      </c>
      <c r="F148" s="199"/>
      <c r="G148" s="14"/>
      <c r="H148" s="14"/>
      <c r="I148" s="14"/>
      <c r="J148" s="14"/>
      <c r="K148" s="14"/>
      <c r="L148" s="14"/>
      <c r="M148" s="14"/>
      <c r="N148" s="14"/>
      <c r="O148" s="14"/>
      <c r="P148" s="14"/>
      <c r="Q148" s="14"/>
      <c r="R148" s="14"/>
      <c r="S148" s="14"/>
      <c r="T148" s="14"/>
      <c r="U148" s="14"/>
      <c r="V148" s="14"/>
      <c r="W148" s="14"/>
      <c r="X148" s="14"/>
      <c r="Y148" s="14"/>
    </row>
    <row r="149" spans="1:25" ht="244.8">
      <c r="A149" s="221">
        <v>138</v>
      </c>
      <c r="B149" s="32" t="s">
        <v>406</v>
      </c>
      <c r="C149" s="234">
        <v>41000</v>
      </c>
      <c r="D149" s="221" t="s">
        <v>407</v>
      </c>
      <c r="E149" s="221" t="s">
        <v>408</v>
      </c>
      <c r="F149" s="199"/>
      <c r="G149" s="14"/>
      <c r="H149" s="14"/>
      <c r="I149" s="14"/>
      <c r="J149" s="14"/>
      <c r="K149" s="14"/>
      <c r="L149" s="14"/>
      <c r="M149" s="14"/>
      <c r="N149" s="14"/>
      <c r="O149" s="14"/>
      <c r="P149" s="14"/>
      <c r="Q149" s="14"/>
      <c r="R149" s="14"/>
      <c r="S149" s="14"/>
      <c r="T149" s="14"/>
      <c r="U149" s="14"/>
      <c r="V149" s="14"/>
      <c r="W149" s="14"/>
      <c r="X149" s="14"/>
      <c r="Y149" s="14"/>
    </row>
    <row r="150" spans="1:25" ht="158.4">
      <c r="A150" s="221">
        <v>139</v>
      </c>
      <c r="B150" s="32" t="s">
        <v>409</v>
      </c>
      <c r="C150" s="234">
        <v>41030</v>
      </c>
      <c r="D150" s="221" t="s">
        <v>410</v>
      </c>
      <c r="E150" s="221" t="s">
        <v>411</v>
      </c>
      <c r="F150" s="199"/>
      <c r="G150" s="14"/>
      <c r="H150" s="14"/>
      <c r="I150" s="14"/>
      <c r="J150" s="14"/>
      <c r="K150" s="14"/>
      <c r="L150" s="14"/>
      <c r="M150" s="14"/>
      <c r="N150" s="14"/>
      <c r="O150" s="14"/>
      <c r="P150" s="14"/>
      <c r="Q150" s="14"/>
      <c r="R150" s="14"/>
      <c r="S150" s="14"/>
      <c r="T150" s="14"/>
      <c r="U150" s="14"/>
      <c r="V150" s="14"/>
      <c r="W150" s="14"/>
      <c r="X150" s="14"/>
      <c r="Y150" s="14"/>
    </row>
    <row r="151" spans="1:25" ht="316.8">
      <c r="A151" s="221">
        <v>140</v>
      </c>
      <c r="B151" s="32" t="s">
        <v>412</v>
      </c>
      <c r="C151" s="234">
        <v>41122</v>
      </c>
      <c r="D151" s="221" t="s">
        <v>413</v>
      </c>
      <c r="E151" s="221" t="s">
        <v>414</v>
      </c>
      <c r="F151" s="199"/>
      <c r="G151" s="14"/>
      <c r="H151" s="14"/>
      <c r="I151" s="14"/>
      <c r="J151" s="14"/>
      <c r="K151" s="14"/>
      <c r="L151" s="14"/>
      <c r="M151" s="14"/>
      <c r="N151" s="14"/>
      <c r="O151" s="14"/>
      <c r="P151" s="14"/>
      <c r="Q151" s="14"/>
      <c r="R151" s="14"/>
      <c r="S151" s="14"/>
      <c r="T151" s="14"/>
      <c r="U151" s="14"/>
      <c r="V151" s="14"/>
      <c r="W151" s="14"/>
      <c r="X151" s="14"/>
      <c r="Y151" s="14"/>
    </row>
    <row r="152" spans="1:25" ht="391.2" customHeight="1">
      <c r="A152" s="221">
        <v>141</v>
      </c>
      <c r="B152" s="32" t="s">
        <v>415</v>
      </c>
      <c r="C152" s="234">
        <v>41091</v>
      </c>
      <c r="D152" s="221" t="s">
        <v>416</v>
      </c>
      <c r="E152" s="221" t="s">
        <v>417</v>
      </c>
      <c r="F152" s="199"/>
      <c r="G152" s="14"/>
      <c r="H152" s="14"/>
      <c r="I152" s="14"/>
      <c r="J152" s="14"/>
      <c r="K152" s="14"/>
      <c r="L152" s="14"/>
      <c r="M152" s="14"/>
      <c r="N152" s="14"/>
      <c r="O152" s="14"/>
      <c r="P152" s="14"/>
      <c r="Q152" s="14"/>
      <c r="R152" s="14"/>
      <c r="S152" s="14"/>
      <c r="T152" s="14"/>
      <c r="U152" s="14"/>
      <c r="V152" s="14"/>
      <c r="W152" s="14"/>
      <c r="X152" s="14"/>
      <c r="Y152" s="14"/>
    </row>
    <row r="153" spans="1:25" ht="409.6">
      <c r="A153" s="221">
        <v>142</v>
      </c>
      <c r="B153" s="32" t="s">
        <v>418</v>
      </c>
      <c r="C153" s="234">
        <v>41239</v>
      </c>
      <c r="D153" s="221" t="s">
        <v>419</v>
      </c>
      <c r="E153" s="221" t="s">
        <v>420</v>
      </c>
      <c r="F153" s="199"/>
      <c r="G153" s="14"/>
      <c r="H153" s="14"/>
      <c r="I153" s="14"/>
      <c r="J153" s="14"/>
      <c r="K153" s="14"/>
      <c r="L153" s="14"/>
      <c r="M153" s="14"/>
      <c r="N153" s="14"/>
      <c r="O153" s="14"/>
      <c r="P153" s="14"/>
      <c r="Q153" s="14"/>
      <c r="R153" s="14"/>
      <c r="S153" s="14"/>
      <c r="T153" s="14"/>
      <c r="U153" s="14"/>
      <c r="V153" s="14"/>
      <c r="W153" s="14"/>
      <c r="X153" s="14"/>
      <c r="Y153" s="14"/>
    </row>
    <row r="154" spans="1:25" ht="374.4">
      <c r="A154" s="221">
        <v>143</v>
      </c>
      <c r="B154" s="32" t="s">
        <v>421</v>
      </c>
      <c r="C154" s="234">
        <v>41242</v>
      </c>
      <c r="D154" s="221" t="s">
        <v>422</v>
      </c>
      <c r="E154" s="221" t="s">
        <v>423</v>
      </c>
      <c r="F154" s="199"/>
      <c r="G154" s="14"/>
      <c r="H154" s="14"/>
      <c r="I154" s="14"/>
      <c r="J154" s="14"/>
      <c r="K154" s="14"/>
      <c r="L154" s="14"/>
      <c r="M154" s="14"/>
      <c r="N154" s="14"/>
      <c r="O154" s="14"/>
      <c r="P154" s="14"/>
      <c r="Q154" s="14"/>
      <c r="R154" s="14"/>
      <c r="S154" s="14"/>
      <c r="T154" s="14"/>
      <c r="U154" s="14"/>
      <c r="V154" s="14"/>
      <c r="W154" s="14"/>
      <c r="X154" s="14"/>
      <c r="Y154" s="14"/>
    </row>
    <row r="155" spans="1:25" ht="273.60000000000002">
      <c r="A155" s="221">
        <v>144</v>
      </c>
      <c r="B155" s="32" t="s">
        <v>424</v>
      </c>
      <c r="C155" s="234">
        <v>41242</v>
      </c>
      <c r="D155" s="221" t="s">
        <v>425</v>
      </c>
      <c r="E155" s="221" t="s">
        <v>426</v>
      </c>
      <c r="F155" s="199"/>
      <c r="G155" s="14"/>
      <c r="H155" s="14"/>
      <c r="I155" s="14"/>
      <c r="J155" s="14"/>
      <c r="K155" s="14"/>
      <c r="L155" s="14"/>
      <c r="M155" s="14"/>
      <c r="N155" s="14"/>
      <c r="O155" s="14"/>
      <c r="P155" s="14"/>
      <c r="Q155" s="14"/>
      <c r="R155" s="14"/>
      <c r="S155" s="14"/>
      <c r="T155" s="14"/>
      <c r="U155" s="14"/>
      <c r="V155" s="14"/>
      <c r="W155" s="14"/>
      <c r="X155" s="14"/>
      <c r="Y155" s="14"/>
    </row>
    <row r="156" spans="1:25" ht="201.6">
      <c r="A156" s="221">
        <v>145</v>
      </c>
      <c r="B156" s="32" t="s">
        <v>427</v>
      </c>
      <c r="C156" s="234">
        <v>41242</v>
      </c>
      <c r="D156" s="221" t="s">
        <v>428</v>
      </c>
      <c r="E156" s="221" t="s">
        <v>429</v>
      </c>
      <c r="F156" s="199"/>
      <c r="G156" s="14"/>
      <c r="H156" s="14"/>
      <c r="I156" s="14"/>
      <c r="J156" s="14"/>
      <c r="K156" s="14"/>
      <c r="L156" s="14"/>
      <c r="M156" s="14"/>
      <c r="N156" s="14"/>
      <c r="O156" s="14"/>
      <c r="P156" s="14"/>
      <c r="Q156" s="14"/>
      <c r="R156" s="14"/>
      <c r="S156" s="14"/>
      <c r="T156" s="14"/>
      <c r="U156" s="14"/>
      <c r="V156" s="14"/>
      <c r="W156" s="14"/>
      <c r="X156" s="14"/>
      <c r="Y156" s="14"/>
    </row>
    <row r="157" spans="1:25" ht="273.60000000000002">
      <c r="A157" s="221">
        <v>146</v>
      </c>
      <c r="B157" s="32" t="s">
        <v>430</v>
      </c>
      <c r="C157" s="234">
        <v>41243</v>
      </c>
      <c r="D157" s="221" t="s">
        <v>431</v>
      </c>
      <c r="E157" s="221" t="s">
        <v>432</v>
      </c>
      <c r="F157" s="199"/>
      <c r="G157" s="14"/>
      <c r="H157" s="14"/>
      <c r="I157" s="14"/>
      <c r="J157" s="14"/>
      <c r="K157" s="14"/>
      <c r="L157" s="14"/>
      <c r="M157" s="14"/>
      <c r="N157" s="14"/>
      <c r="O157" s="14"/>
      <c r="P157" s="14"/>
      <c r="Q157" s="14"/>
      <c r="R157" s="14"/>
      <c r="S157" s="14"/>
      <c r="T157" s="14"/>
      <c r="U157" s="14"/>
      <c r="V157" s="14"/>
      <c r="W157" s="14"/>
      <c r="X157" s="14"/>
      <c r="Y157" s="14"/>
    </row>
    <row r="158" spans="1:25" ht="86.4">
      <c r="A158" s="221">
        <v>147</v>
      </c>
      <c r="B158" s="32" t="s">
        <v>433</v>
      </c>
      <c r="C158" s="234">
        <v>41248</v>
      </c>
      <c r="D158" s="221" t="s">
        <v>434</v>
      </c>
      <c r="E158" s="221" t="s">
        <v>435</v>
      </c>
      <c r="F158" s="199"/>
      <c r="G158" s="35"/>
      <c r="H158" s="14"/>
      <c r="I158" s="14"/>
      <c r="J158" s="14"/>
      <c r="K158" s="14"/>
      <c r="L158" s="14"/>
      <c r="M158" s="14"/>
      <c r="N158" s="14"/>
      <c r="O158" s="14"/>
      <c r="P158" s="14"/>
      <c r="Q158" s="14"/>
      <c r="R158" s="14"/>
      <c r="S158" s="14"/>
      <c r="T158" s="14"/>
      <c r="U158" s="14"/>
      <c r="V158" s="14"/>
      <c r="W158" s="14"/>
      <c r="X158" s="14"/>
      <c r="Y158" s="14"/>
    </row>
    <row r="159" spans="1:25" ht="360">
      <c r="A159" s="221">
        <v>148</v>
      </c>
      <c r="B159" s="32" t="s">
        <v>436</v>
      </c>
      <c r="C159" s="234">
        <v>41323</v>
      </c>
      <c r="D159" s="221" t="s">
        <v>437</v>
      </c>
      <c r="E159" s="221" t="s">
        <v>438</v>
      </c>
      <c r="F159" s="199"/>
      <c r="G159" s="35"/>
      <c r="H159" s="14"/>
      <c r="I159" s="14"/>
      <c r="J159" s="14"/>
      <c r="K159" s="14"/>
      <c r="L159" s="14"/>
      <c r="M159" s="14"/>
      <c r="N159" s="14"/>
      <c r="O159" s="14"/>
      <c r="P159" s="14"/>
      <c r="Q159" s="14"/>
      <c r="R159" s="14"/>
      <c r="S159" s="14"/>
      <c r="T159" s="14"/>
      <c r="U159" s="14"/>
      <c r="V159" s="14"/>
      <c r="W159" s="14"/>
      <c r="X159" s="14"/>
      <c r="Y159" s="14"/>
    </row>
    <row r="160" spans="1:25" ht="288">
      <c r="A160" s="221">
        <v>149</v>
      </c>
      <c r="B160" s="32" t="s">
        <v>439</v>
      </c>
      <c r="C160" s="234">
        <v>41355</v>
      </c>
      <c r="D160" s="221" t="s">
        <v>440</v>
      </c>
      <c r="E160" s="221" t="s">
        <v>441</v>
      </c>
      <c r="F160" s="200"/>
      <c r="G160" s="3"/>
      <c r="H160" s="3"/>
      <c r="I160" s="3"/>
      <c r="J160" s="3"/>
      <c r="K160" s="3"/>
      <c r="L160" s="3"/>
      <c r="M160" s="3"/>
      <c r="N160" s="3"/>
      <c r="O160" s="3"/>
      <c r="P160" s="3"/>
      <c r="Q160" s="3"/>
      <c r="R160" s="3"/>
      <c r="S160" s="3"/>
      <c r="T160" s="3"/>
      <c r="U160" s="3"/>
      <c r="V160" s="3"/>
      <c r="W160" s="3"/>
      <c r="X160" s="3"/>
      <c r="Y160" s="3"/>
    </row>
    <row r="161" spans="1:25" ht="374.4">
      <c r="A161" s="221">
        <v>150</v>
      </c>
      <c r="B161" s="32" t="s">
        <v>442</v>
      </c>
      <c r="C161" s="234">
        <v>41367</v>
      </c>
      <c r="D161" s="221" t="s">
        <v>443</v>
      </c>
      <c r="E161" s="221" t="s">
        <v>444</v>
      </c>
      <c r="F161" s="200"/>
      <c r="G161" s="3"/>
      <c r="H161" s="3"/>
      <c r="I161" s="3"/>
      <c r="J161" s="3"/>
      <c r="K161" s="3"/>
      <c r="L161" s="3"/>
      <c r="M161" s="3"/>
      <c r="N161" s="3"/>
      <c r="O161" s="3"/>
      <c r="P161" s="3"/>
      <c r="Q161" s="3"/>
      <c r="R161" s="3"/>
      <c r="S161" s="3"/>
      <c r="T161" s="3"/>
      <c r="U161" s="3"/>
      <c r="V161" s="3"/>
      <c r="W161" s="3"/>
      <c r="X161" s="3"/>
      <c r="Y161" s="3"/>
    </row>
    <row r="162" spans="1:25" ht="409.6">
      <c r="A162" s="221">
        <v>151</v>
      </c>
      <c r="B162" s="32" t="s">
        <v>445</v>
      </c>
      <c r="C162" s="234">
        <v>41381</v>
      </c>
      <c r="D162" s="221" t="s">
        <v>446</v>
      </c>
      <c r="E162" s="221" t="s">
        <v>447</v>
      </c>
      <c r="F162" s="200"/>
      <c r="G162" s="3"/>
      <c r="H162" s="3"/>
      <c r="I162" s="3"/>
      <c r="J162" s="3"/>
      <c r="K162" s="3"/>
      <c r="L162" s="3"/>
      <c r="M162" s="3"/>
      <c r="N162" s="3"/>
      <c r="O162" s="3"/>
      <c r="P162" s="3"/>
      <c r="Q162" s="3"/>
      <c r="R162" s="3"/>
      <c r="S162" s="3"/>
      <c r="T162" s="3"/>
      <c r="U162" s="3"/>
      <c r="V162" s="3"/>
      <c r="W162" s="3"/>
      <c r="X162" s="3"/>
      <c r="Y162" s="3"/>
    </row>
    <row r="163" spans="1:25" ht="409.6">
      <c r="A163" s="221">
        <v>152</v>
      </c>
      <c r="B163" s="32" t="s">
        <v>448</v>
      </c>
      <c r="C163" s="234">
        <v>41381</v>
      </c>
      <c r="D163" s="221" t="s">
        <v>446</v>
      </c>
      <c r="E163" s="221" t="s">
        <v>449</v>
      </c>
      <c r="F163" s="200"/>
      <c r="G163" s="3"/>
      <c r="H163" s="3"/>
      <c r="I163" s="3"/>
      <c r="J163" s="3"/>
      <c r="K163" s="3"/>
      <c r="L163" s="3"/>
      <c r="M163" s="3"/>
      <c r="N163" s="3"/>
      <c r="O163" s="3"/>
      <c r="P163" s="3"/>
      <c r="Q163" s="3"/>
      <c r="R163" s="3"/>
      <c r="S163" s="3"/>
      <c r="T163" s="3"/>
      <c r="U163" s="3"/>
      <c r="V163" s="3"/>
      <c r="W163" s="3"/>
      <c r="X163" s="3"/>
      <c r="Y163" s="3"/>
    </row>
    <row r="164" spans="1:25" ht="115.2">
      <c r="A164" s="221">
        <v>153</v>
      </c>
      <c r="B164" s="32" t="s">
        <v>450</v>
      </c>
      <c r="C164" s="234">
        <v>41394</v>
      </c>
      <c r="D164" s="221" t="s">
        <v>451</v>
      </c>
      <c r="E164" s="221" t="s">
        <v>21</v>
      </c>
      <c r="F164" s="200"/>
      <c r="G164" s="3"/>
      <c r="H164" s="3"/>
      <c r="I164" s="3"/>
      <c r="J164" s="3"/>
      <c r="K164" s="3"/>
      <c r="L164" s="3"/>
      <c r="M164" s="3"/>
      <c r="N164" s="3"/>
      <c r="O164" s="3"/>
      <c r="P164" s="3"/>
      <c r="Q164" s="3"/>
      <c r="R164" s="3"/>
      <c r="S164" s="3"/>
      <c r="T164" s="3"/>
      <c r="U164" s="3"/>
      <c r="V164" s="3"/>
      <c r="W164" s="3"/>
      <c r="X164" s="3"/>
      <c r="Y164" s="3"/>
    </row>
    <row r="165" spans="1:25" ht="172.8">
      <c r="A165" s="221">
        <v>154</v>
      </c>
      <c r="B165" s="32" t="s">
        <v>452</v>
      </c>
      <c r="C165" s="234">
        <v>41395</v>
      </c>
      <c r="D165" s="221" t="s">
        <v>453</v>
      </c>
      <c r="E165" s="221" t="s">
        <v>454</v>
      </c>
      <c r="F165" s="200"/>
      <c r="G165" s="3"/>
      <c r="H165" s="3"/>
      <c r="I165" s="3"/>
      <c r="J165" s="3"/>
      <c r="K165" s="3"/>
      <c r="L165" s="3"/>
      <c r="M165" s="3"/>
      <c r="N165" s="3"/>
      <c r="O165" s="3"/>
      <c r="P165" s="3"/>
      <c r="Q165" s="3"/>
      <c r="R165" s="3"/>
      <c r="S165" s="3"/>
      <c r="T165" s="3"/>
      <c r="U165" s="3"/>
      <c r="V165" s="3"/>
      <c r="W165" s="3"/>
      <c r="X165" s="3"/>
      <c r="Y165" s="3"/>
    </row>
    <row r="166" spans="1:25" ht="230.4">
      <c r="A166" s="221">
        <v>155</v>
      </c>
      <c r="B166" s="32" t="s">
        <v>455</v>
      </c>
      <c r="C166" s="234">
        <v>41415</v>
      </c>
      <c r="D166" s="221" t="s">
        <v>456</v>
      </c>
      <c r="E166" s="221" t="s">
        <v>457</v>
      </c>
      <c r="F166" s="200"/>
      <c r="G166" s="3"/>
      <c r="H166" s="3"/>
      <c r="I166" s="3"/>
      <c r="J166" s="3"/>
      <c r="K166" s="3"/>
      <c r="L166" s="3"/>
      <c r="M166" s="3"/>
      <c r="N166" s="3"/>
      <c r="O166" s="3"/>
      <c r="P166" s="3"/>
      <c r="Q166" s="3"/>
      <c r="R166" s="3"/>
      <c r="S166" s="3"/>
      <c r="T166" s="3"/>
      <c r="U166" s="3"/>
      <c r="V166" s="3"/>
      <c r="W166" s="3"/>
      <c r="X166" s="3"/>
      <c r="Y166" s="3"/>
    </row>
    <row r="167" spans="1:25" ht="172.8">
      <c r="A167" s="221">
        <v>156</v>
      </c>
      <c r="B167" s="32" t="s">
        <v>458</v>
      </c>
      <c r="C167" s="234">
        <v>41416</v>
      </c>
      <c r="D167" s="221" t="s">
        <v>459</v>
      </c>
      <c r="E167" s="221" t="s">
        <v>460</v>
      </c>
      <c r="F167" s="200"/>
      <c r="G167" s="3"/>
      <c r="H167" s="3"/>
      <c r="I167" s="3"/>
      <c r="J167" s="3"/>
      <c r="K167" s="3"/>
      <c r="L167" s="3"/>
      <c r="M167" s="3"/>
      <c r="N167" s="3"/>
      <c r="O167" s="3"/>
      <c r="P167" s="3"/>
      <c r="Q167" s="3"/>
      <c r="R167" s="3"/>
      <c r="S167" s="3"/>
      <c r="T167" s="3"/>
      <c r="U167" s="3"/>
      <c r="V167" s="3"/>
      <c r="W167" s="3"/>
      <c r="X167" s="3"/>
      <c r="Y167" s="3"/>
    </row>
    <row r="168" spans="1:25" ht="100.8">
      <c r="A168" s="221">
        <v>157</v>
      </c>
      <c r="B168" s="32" t="s">
        <v>461</v>
      </c>
      <c r="C168" s="234">
        <v>41418</v>
      </c>
      <c r="D168" s="221" t="s">
        <v>462</v>
      </c>
      <c r="E168" s="221" t="s">
        <v>463</v>
      </c>
      <c r="F168" s="200"/>
      <c r="G168" s="3"/>
      <c r="H168" s="3"/>
      <c r="I168" s="3"/>
      <c r="J168" s="3"/>
      <c r="K168" s="3"/>
      <c r="L168" s="3"/>
      <c r="M168" s="3"/>
      <c r="N168" s="3"/>
      <c r="O168" s="3"/>
      <c r="P168" s="3"/>
      <c r="Q168" s="3"/>
      <c r="R168" s="3"/>
      <c r="S168" s="3"/>
      <c r="T168" s="3"/>
      <c r="U168" s="3"/>
      <c r="V168" s="3"/>
      <c r="W168" s="3"/>
      <c r="X168" s="3"/>
      <c r="Y168" s="3"/>
    </row>
    <row r="169" spans="1:25" ht="115.2">
      <c r="A169" s="221">
        <v>158</v>
      </c>
      <c r="B169" s="32" t="s">
        <v>464</v>
      </c>
      <c r="C169" s="234">
        <v>41597</v>
      </c>
      <c r="D169" s="221" t="s">
        <v>465</v>
      </c>
      <c r="E169" s="221" t="s">
        <v>466</v>
      </c>
      <c r="F169" s="200"/>
      <c r="G169" s="3"/>
      <c r="H169" s="3"/>
      <c r="I169" s="3"/>
      <c r="J169" s="3"/>
      <c r="K169" s="3"/>
      <c r="L169" s="3"/>
      <c r="M169" s="3"/>
      <c r="N169" s="3"/>
      <c r="O169" s="3"/>
      <c r="P169" s="3"/>
      <c r="Q169" s="3"/>
      <c r="R169" s="3"/>
      <c r="S169" s="3"/>
      <c r="T169" s="3"/>
      <c r="U169" s="3"/>
      <c r="V169" s="3"/>
      <c r="W169" s="3"/>
      <c r="X169" s="3"/>
      <c r="Y169" s="3"/>
    </row>
    <row r="170" spans="1:25" ht="172.8">
      <c r="A170" s="221">
        <v>159</v>
      </c>
      <c r="B170" s="32" t="s">
        <v>467</v>
      </c>
      <c r="C170" s="234">
        <v>41624</v>
      </c>
      <c r="D170" s="221" t="s">
        <v>468</v>
      </c>
      <c r="E170" s="221" t="s">
        <v>469</v>
      </c>
      <c r="F170" s="200"/>
      <c r="G170" s="3"/>
      <c r="H170" s="3"/>
      <c r="I170" s="3"/>
      <c r="J170" s="3"/>
      <c r="K170" s="3"/>
      <c r="L170" s="3"/>
      <c r="M170" s="3"/>
      <c r="N170" s="3"/>
      <c r="O170" s="3"/>
      <c r="P170" s="3"/>
      <c r="Q170" s="3"/>
      <c r="R170" s="3"/>
      <c r="S170" s="3"/>
      <c r="T170" s="3"/>
      <c r="U170" s="3"/>
      <c r="V170" s="3"/>
      <c r="W170" s="3"/>
      <c r="X170" s="3"/>
      <c r="Y170" s="3"/>
    </row>
    <row r="171" spans="1:25" ht="144">
      <c r="A171" s="221">
        <v>160</v>
      </c>
      <c r="B171" s="32" t="s">
        <v>470</v>
      </c>
      <c r="C171" s="234">
        <v>41760</v>
      </c>
      <c r="D171" s="221" t="s">
        <v>471</v>
      </c>
      <c r="E171" s="221" t="s">
        <v>472</v>
      </c>
      <c r="F171" s="200"/>
      <c r="G171" s="3"/>
      <c r="H171" s="3"/>
      <c r="I171" s="3"/>
      <c r="J171" s="3"/>
      <c r="K171" s="3"/>
      <c r="L171" s="3"/>
      <c r="M171" s="3"/>
      <c r="N171" s="3"/>
      <c r="O171" s="3"/>
      <c r="P171" s="3"/>
      <c r="Q171" s="3"/>
      <c r="R171" s="3"/>
      <c r="S171" s="3"/>
      <c r="T171" s="3"/>
      <c r="U171" s="3"/>
      <c r="V171" s="3"/>
      <c r="W171" s="3"/>
      <c r="X171" s="3"/>
      <c r="Y171" s="3"/>
    </row>
    <row r="172" spans="1:25" ht="302.39999999999998">
      <c r="A172" s="221">
        <v>161</v>
      </c>
      <c r="B172" s="32" t="s">
        <v>473</v>
      </c>
      <c r="C172" s="234">
        <v>41746</v>
      </c>
      <c r="D172" s="221" t="s">
        <v>474</v>
      </c>
      <c r="E172" s="221" t="s">
        <v>475</v>
      </c>
      <c r="F172" s="200"/>
      <c r="G172" s="3"/>
      <c r="H172" s="3"/>
      <c r="I172" s="3"/>
      <c r="J172" s="3"/>
      <c r="K172" s="3"/>
      <c r="L172" s="3"/>
      <c r="M172" s="3"/>
      <c r="N172" s="3"/>
      <c r="O172" s="3"/>
      <c r="P172" s="3"/>
      <c r="Q172" s="3"/>
      <c r="R172" s="3"/>
      <c r="S172" s="3"/>
      <c r="T172" s="3"/>
      <c r="U172" s="3"/>
      <c r="V172" s="3"/>
      <c r="W172" s="3"/>
      <c r="X172" s="3"/>
      <c r="Y172" s="3"/>
    </row>
    <row r="173" spans="1:25" ht="345.6">
      <c r="A173" s="221">
        <v>162</v>
      </c>
      <c r="B173" s="32" t="s">
        <v>476</v>
      </c>
      <c r="C173" s="234">
        <v>41976</v>
      </c>
      <c r="D173" s="221" t="s">
        <v>477</v>
      </c>
      <c r="E173" s="221" t="s">
        <v>21</v>
      </c>
      <c r="F173" s="200"/>
      <c r="G173" s="3"/>
      <c r="H173" s="3"/>
      <c r="I173" s="3"/>
      <c r="J173" s="3"/>
      <c r="K173" s="3"/>
      <c r="L173" s="3"/>
      <c r="M173" s="3"/>
      <c r="N173" s="3"/>
      <c r="O173" s="3"/>
      <c r="P173" s="3"/>
      <c r="Q173" s="3"/>
      <c r="R173" s="3"/>
      <c r="S173" s="3"/>
      <c r="T173" s="3"/>
      <c r="U173" s="3"/>
      <c r="V173" s="3"/>
      <c r="W173" s="3"/>
      <c r="X173" s="3"/>
      <c r="Y173" s="3"/>
    </row>
    <row r="174" spans="1:25" ht="144">
      <c r="A174" s="221">
        <v>163</v>
      </c>
      <c r="B174" s="32" t="s">
        <v>478</v>
      </c>
      <c r="C174" s="234">
        <v>42020</v>
      </c>
      <c r="D174" s="221" t="s">
        <v>479</v>
      </c>
      <c r="E174" s="221" t="s">
        <v>480</v>
      </c>
      <c r="F174" s="200"/>
      <c r="G174" s="3"/>
      <c r="H174" s="3"/>
      <c r="I174" s="3"/>
      <c r="J174" s="3"/>
      <c r="K174" s="3"/>
      <c r="L174" s="3"/>
      <c r="M174" s="3"/>
      <c r="N174" s="3"/>
      <c r="O174" s="3"/>
      <c r="P174" s="3"/>
      <c r="Q174" s="3"/>
      <c r="R174" s="3"/>
      <c r="S174" s="3"/>
      <c r="T174" s="3"/>
      <c r="U174" s="3"/>
      <c r="V174" s="3"/>
      <c r="W174" s="3"/>
      <c r="X174" s="3"/>
      <c r="Y174" s="3"/>
    </row>
    <row r="175" spans="1:25" ht="230.4">
      <c r="A175" s="221">
        <v>164</v>
      </c>
      <c r="B175" s="32" t="s">
        <v>481</v>
      </c>
      <c r="C175" s="234">
        <v>42067</v>
      </c>
      <c r="D175" s="221" t="s">
        <v>482</v>
      </c>
      <c r="E175" s="221" t="s">
        <v>21</v>
      </c>
      <c r="F175" s="200"/>
      <c r="G175" s="3"/>
      <c r="H175" s="3"/>
      <c r="I175" s="3"/>
      <c r="J175" s="3"/>
      <c r="K175" s="3"/>
      <c r="L175" s="3"/>
      <c r="M175" s="3"/>
      <c r="N175" s="3"/>
      <c r="O175" s="3"/>
      <c r="P175" s="3"/>
      <c r="Q175" s="3"/>
      <c r="R175" s="3"/>
      <c r="S175" s="3"/>
      <c r="T175" s="3"/>
      <c r="U175" s="3"/>
      <c r="V175" s="3"/>
      <c r="W175" s="3"/>
      <c r="X175" s="3"/>
      <c r="Y175" s="3"/>
    </row>
    <row r="176" spans="1:25" ht="345.6">
      <c r="A176" s="221">
        <v>165</v>
      </c>
      <c r="B176" s="32" t="s">
        <v>483</v>
      </c>
      <c r="C176" s="234">
        <v>42170</v>
      </c>
      <c r="D176" s="221" t="s">
        <v>484</v>
      </c>
      <c r="E176" s="221" t="s">
        <v>21</v>
      </c>
      <c r="F176" s="200"/>
      <c r="G176" s="3"/>
      <c r="H176" s="3"/>
      <c r="I176" s="3"/>
      <c r="J176" s="3"/>
      <c r="K176" s="3"/>
      <c r="L176" s="3"/>
      <c r="M176" s="3"/>
      <c r="N176" s="3"/>
      <c r="O176" s="3"/>
      <c r="P176" s="3"/>
      <c r="Q176" s="3"/>
      <c r="R176" s="3"/>
      <c r="S176" s="3"/>
      <c r="T176" s="3"/>
      <c r="U176" s="3"/>
      <c r="V176" s="3"/>
      <c r="W176" s="3"/>
      <c r="X176" s="3"/>
      <c r="Y176" s="3"/>
    </row>
    <row r="177" spans="1:25" ht="158.4">
      <c r="A177" s="221">
        <v>166</v>
      </c>
      <c r="B177" s="32" t="s">
        <v>485</v>
      </c>
      <c r="C177" s="234">
        <v>42177</v>
      </c>
      <c r="D177" s="221" t="s">
        <v>486</v>
      </c>
      <c r="E177" s="221" t="s">
        <v>316</v>
      </c>
      <c r="F177" s="200"/>
      <c r="G177" s="3"/>
      <c r="H177" s="3"/>
      <c r="I177" s="3"/>
      <c r="J177" s="3"/>
      <c r="K177" s="3"/>
      <c r="L177" s="3"/>
      <c r="M177" s="3"/>
      <c r="N177" s="3"/>
      <c r="O177" s="3"/>
      <c r="P177" s="3"/>
      <c r="Q177" s="3"/>
      <c r="R177" s="3"/>
      <c r="S177" s="3"/>
      <c r="T177" s="3"/>
      <c r="U177" s="3"/>
      <c r="V177" s="3"/>
      <c r="W177" s="3"/>
      <c r="X177" s="3"/>
      <c r="Y177" s="3"/>
    </row>
    <row r="178" spans="1:25" ht="115.2">
      <c r="A178" s="221">
        <v>167</v>
      </c>
      <c r="B178" s="32" t="s">
        <v>487</v>
      </c>
      <c r="C178" s="234">
        <v>42374</v>
      </c>
      <c r="D178" s="221" t="s">
        <v>488</v>
      </c>
      <c r="E178" s="221" t="s">
        <v>21</v>
      </c>
      <c r="F178" s="200"/>
      <c r="G178" s="3"/>
      <c r="H178" s="3"/>
      <c r="I178" s="3"/>
      <c r="J178" s="3"/>
      <c r="K178" s="3"/>
      <c r="L178" s="3"/>
      <c r="M178" s="3"/>
      <c r="N178" s="3"/>
      <c r="O178" s="3"/>
      <c r="P178" s="3"/>
      <c r="Q178" s="3"/>
      <c r="R178" s="3"/>
      <c r="S178" s="3"/>
      <c r="T178" s="3"/>
      <c r="U178" s="3"/>
      <c r="V178" s="3"/>
      <c r="W178" s="3"/>
      <c r="X178" s="3"/>
      <c r="Y178" s="3"/>
    </row>
    <row r="179" spans="1:25" ht="115.2">
      <c r="A179" s="221">
        <v>168</v>
      </c>
      <c r="B179" s="32" t="s">
        <v>489</v>
      </c>
      <c r="C179" s="234">
        <v>42374</v>
      </c>
      <c r="D179" s="221" t="s">
        <v>490</v>
      </c>
      <c r="E179" s="221" t="s">
        <v>21</v>
      </c>
      <c r="F179" s="200"/>
      <c r="G179" s="3"/>
      <c r="H179" s="3"/>
      <c r="I179" s="3"/>
      <c r="J179" s="3"/>
      <c r="K179" s="3"/>
      <c r="L179" s="3"/>
      <c r="M179" s="3"/>
      <c r="N179" s="3"/>
      <c r="O179" s="3"/>
      <c r="P179" s="3"/>
      <c r="Q179" s="3"/>
      <c r="R179" s="3"/>
      <c r="S179" s="3"/>
      <c r="T179" s="3"/>
      <c r="U179" s="3"/>
      <c r="V179" s="3"/>
      <c r="W179" s="3"/>
      <c r="X179" s="3"/>
      <c r="Y179" s="3"/>
    </row>
    <row r="180" spans="1:25" ht="129.6">
      <c r="A180" s="221">
        <v>169</v>
      </c>
      <c r="B180" s="32" t="s">
        <v>491</v>
      </c>
      <c r="C180" s="234">
        <v>42383</v>
      </c>
      <c r="D180" s="221" t="s">
        <v>492</v>
      </c>
      <c r="E180" s="221" t="s">
        <v>21</v>
      </c>
      <c r="F180" s="200"/>
      <c r="G180" s="3"/>
      <c r="H180" s="3"/>
      <c r="I180" s="3"/>
      <c r="J180" s="3"/>
      <c r="K180" s="3"/>
      <c r="L180" s="3"/>
      <c r="M180" s="3"/>
      <c r="N180" s="3"/>
      <c r="O180" s="3"/>
      <c r="P180" s="3"/>
      <c r="Q180" s="3"/>
      <c r="R180" s="3"/>
      <c r="S180" s="3"/>
      <c r="T180" s="3"/>
      <c r="U180" s="3"/>
      <c r="V180" s="3"/>
      <c r="W180" s="3"/>
      <c r="X180" s="3"/>
      <c r="Y180" s="3"/>
    </row>
    <row r="181" spans="1:25" ht="144">
      <c r="A181" s="221">
        <v>170</v>
      </c>
      <c r="B181" s="32" t="s">
        <v>493</v>
      </c>
      <c r="C181" s="234">
        <v>42383</v>
      </c>
      <c r="D181" s="221" t="s">
        <v>494</v>
      </c>
      <c r="E181" s="221" t="s">
        <v>21</v>
      </c>
      <c r="F181" s="200"/>
      <c r="G181" s="3"/>
      <c r="H181" s="3"/>
      <c r="I181" s="3"/>
      <c r="J181" s="3"/>
      <c r="K181" s="3"/>
      <c r="L181" s="3"/>
      <c r="M181" s="3"/>
      <c r="N181" s="3"/>
      <c r="O181" s="3"/>
      <c r="P181" s="3"/>
      <c r="Q181" s="3"/>
      <c r="R181" s="3"/>
      <c r="S181" s="3"/>
      <c r="T181" s="3"/>
      <c r="U181" s="3"/>
      <c r="V181" s="3"/>
      <c r="W181" s="3"/>
      <c r="X181" s="3"/>
      <c r="Y181" s="3"/>
    </row>
    <row r="182" spans="1:25" ht="129.6">
      <c r="A182" s="221">
        <v>171</v>
      </c>
      <c r="B182" s="32" t="s">
        <v>495</v>
      </c>
      <c r="C182" s="234">
        <v>42419</v>
      </c>
      <c r="D182" s="221" t="s">
        <v>496</v>
      </c>
      <c r="E182" s="221" t="s">
        <v>21</v>
      </c>
      <c r="F182" s="200"/>
      <c r="G182" s="3"/>
      <c r="H182" s="3"/>
      <c r="I182" s="3"/>
      <c r="J182" s="3"/>
      <c r="K182" s="3"/>
      <c r="L182" s="3"/>
      <c r="M182" s="3"/>
      <c r="N182" s="3"/>
      <c r="O182" s="3"/>
      <c r="P182" s="3"/>
      <c r="Q182" s="3"/>
      <c r="R182" s="3"/>
      <c r="S182" s="3"/>
      <c r="T182" s="3"/>
      <c r="U182" s="3"/>
      <c r="V182" s="3"/>
      <c r="W182" s="3"/>
      <c r="X182" s="3"/>
      <c r="Y182" s="3"/>
    </row>
    <row r="183" spans="1:25" ht="172.8">
      <c r="A183" s="221">
        <v>172</v>
      </c>
      <c r="B183" s="32" t="s">
        <v>497</v>
      </c>
      <c r="C183" s="234">
        <v>42419</v>
      </c>
      <c r="D183" s="221" t="s">
        <v>498</v>
      </c>
      <c r="E183" s="221" t="s">
        <v>21</v>
      </c>
      <c r="F183" s="200"/>
      <c r="G183" s="3"/>
      <c r="H183" s="3"/>
      <c r="I183" s="3"/>
      <c r="J183" s="3"/>
      <c r="K183" s="3"/>
      <c r="L183" s="3"/>
      <c r="M183" s="3"/>
      <c r="N183" s="3"/>
      <c r="O183" s="3"/>
      <c r="P183" s="3"/>
      <c r="Q183" s="3"/>
      <c r="R183" s="3"/>
      <c r="S183" s="3"/>
      <c r="T183" s="3"/>
      <c r="U183" s="3"/>
      <c r="V183" s="3"/>
      <c r="W183" s="3"/>
      <c r="X183" s="3"/>
      <c r="Y183" s="3"/>
    </row>
    <row r="184" spans="1:25" ht="172.8">
      <c r="A184" s="221">
        <v>173</v>
      </c>
      <c r="B184" s="32" t="s">
        <v>499</v>
      </c>
      <c r="C184" s="234">
        <v>42419</v>
      </c>
      <c r="D184" s="221" t="s">
        <v>500</v>
      </c>
      <c r="E184" s="221" t="s">
        <v>21</v>
      </c>
      <c r="F184" s="200"/>
      <c r="G184" s="3"/>
      <c r="H184" s="3"/>
      <c r="I184" s="3"/>
      <c r="J184" s="3"/>
      <c r="K184" s="3"/>
      <c r="L184" s="3"/>
      <c r="M184" s="3"/>
      <c r="N184" s="3"/>
      <c r="O184" s="3"/>
      <c r="P184" s="3"/>
      <c r="Q184" s="3"/>
      <c r="R184" s="3"/>
      <c r="S184" s="3"/>
      <c r="T184" s="3"/>
      <c r="U184" s="3"/>
      <c r="V184" s="3"/>
      <c r="W184" s="3"/>
      <c r="X184" s="3"/>
      <c r="Y184" s="3"/>
    </row>
    <row r="185" spans="1:25" ht="172.8">
      <c r="A185" s="221">
        <v>174</v>
      </c>
      <c r="B185" s="32" t="s">
        <v>501</v>
      </c>
      <c r="C185" s="234">
        <v>42419</v>
      </c>
      <c r="D185" s="221" t="s">
        <v>500</v>
      </c>
      <c r="E185" s="221" t="s">
        <v>21</v>
      </c>
      <c r="F185" s="200"/>
      <c r="G185" s="3"/>
      <c r="H185" s="3"/>
      <c r="I185" s="3"/>
      <c r="J185" s="3"/>
      <c r="K185" s="3"/>
      <c r="L185" s="3"/>
      <c r="M185" s="3"/>
      <c r="N185" s="3"/>
      <c r="O185" s="3"/>
      <c r="P185" s="3"/>
      <c r="Q185" s="3"/>
      <c r="R185" s="3"/>
      <c r="S185" s="3"/>
      <c r="T185" s="3"/>
      <c r="U185" s="3"/>
      <c r="V185" s="3"/>
      <c r="W185" s="3"/>
      <c r="X185" s="3"/>
      <c r="Y185" s="3"/>
    </row>
    <row r="186" spans="1:25" ht="172.8">
      <c r="A186" s="221">
        <v>175</v>
      </c>
      <c r="B186" s="32" t="s">
        <v>502</v>
      </c>
      <c r="C186" s="234">
        <v>42443</v>
      </c>
      <c r="D186" s="221" t="s">
        <v>503</v>
      </c>
      <c r="E186" s="221" t="s">
        <v>504</v>
      </c>
      <c r="F186" s="200"/>
      <c r="G186" s="3"/>
      <c r="H186" s="3"/>
      <c r="I186" s="3"/>
      <c r="J186" s="3"/>
      <c r="K186" s="3"/>
      <c r="L186" s="3"/>
      <c r="M186" s="3"/>
      <c r="N186" s="3"/>
      <c r="O186" s="3"/>
      <c r="P186" s="3"/>
      <c r="Q186" s="3"/>
      <c r="R186" s="3"/>
      <c r="S186" s="3"/>
      <c r="T186" s="3"/>
      <c r="U186" s="3"/>
      <c r="V186" s="3"/>
      <c r="W186" s="3"/>
      <c r="X186" s="3"/>
      <c r="Y186" s="3"/>
    </row>
    <row r="187" spans="1:25" ht="201.6">
      <c r="A187" s="221">
        <v>176</v>
      </c>
      <c r="B187" s="32" t="s">
        <v>505</v>
      </c>
      <c r="C187" s="234">
        <v>42443</v>
      </c>
      <c r="D187" s="221" t="s">
        <v>506</v>
      </c>
      <c r="E187" s="221" t="s">
        <v>504</v>
      </c>
      <c r="F187" s="200"/>
      <c r="G187" s="3"/>
      <c r="H187" s="3"/>
      <c r="I187" s="3"/>
      <c r="J187" s="3"/>
      <c r="K187" s="3"/>
      <c r="L187" s="3"/>
      <c r="M187" s="3"/>
      <c r="N187" s="3"/>
      <c r="O187" s="3"/>
      <c r="P187" s="3"/>
      <c r="Q187" s="3"/>
      <c r="R187" s="3"/>
      <c r="S187" s="3"/>
      <c r="T187" s="3"/>
      <c r="U187" s="3"/>
      <c r="V187" s="3"/>
      <c r="W187" s="3"/>
      <c r="X187" s="3"/>
      <c r="Y187" s="3"/>
    </row>
    <row r="188" spans="1:25" ht="230.4">
      <c r="A188" s="221">
        <v>178</v>
      </c>
      <c r="B188" s="32" t="s">
        <v>507</v>
      </c>
      <c r="C188" s="234">
        <v>42556</v>
      </c>
      <c r="D188" s="221" t="s">
        <v>508</v>
      </c>
      <c r="E188" s="221" t="s">
        <v>509</v>
      </c>
      <c r="F188" s="200"/>
      <c r="G188" s="3"/>
      <c r="H188" s="3"/>
      <c r="I188" s="3"/>
      <c r="J188" s="3"/>
      <c r="K188" s="3"/>
      <c r="L188" s="3"/>
      <c r="M188" s="3"/>
      <c r="N188" s="3"/>
      <c r="O188" s="3"/>
      <c r="P188" s="3"/>
      <c r="Q188" s="3"/>
      <c r="R188" s="3"/>
      <c r="S188" s="3"/>
      <c r="T188" s="3"/>
      <c r="U188" s="3"/>
      <c r="V188" s="3"/>
      <c r="W188" s="3"/>
      <c r="X188" s="3"/>
      <c r="Y188" s="3"/>
    </row>
    <row r="189" spans="1:25" ht="129.6">
      <c r="A189" s="221">
        <v>180</v>
      </c>
      <c r="B189" s="32" t="s">
        <v>510</v>
      </c>
      <c r="C189" s="234">
        <v>42612</v>
      </c>
      <c r="D189" s="221" t="s">
        <v>511</v>
      </c>
      <c r="E189" s="221" t="s">
        <v>512</v>
      </c>
      <c r="F189" s="200"/>
      <c r="G189" s="3"/>
      <c r="H189" s="3"/>
      <c r="I189" s="3"/>
      <c r="J189" s="3"/>
      <c r="K189" s="3"/>
      <c r="L189" s="3"/>
      <c r="M189" s="3"/>
      <c r="N189" s="3"/>
      <c r="O189" s="3"/>
      <c r="P189" s="3"/>
      <c r="Q189" s="3"/>
      <c r="R189" s="3"/>
      <c r="S189" s="3"/>
      <c r="T189" s="3"/>
      <c r="U189" s="3"/>
      <c r="V189" s="3"/>
      <c r="W189" s="3"/>
      <c r="X189" s="3"/>
      <c r="Y189" s="3"/>
    </row>
    <row r="190" spans="1:25" ht="201.6">
      <c r="A190" s="221">
        <v>181</v>
      </c>
      <c r="B190" s="32" t="s">
        <v>513</v>
      </c>
      <c r="C190" s="234">
        <f>DATE(2016,10, 5)</f>
        <v>42648</v>
      </c>
      <c r="D190" s="221" t="s">
        <v>514</v>
      </c>
      <c r="E190" s="221" t="s">
        <v>21</v>
      </c>
      <c r="F190" s="200"/>
      <c r="G190" s="3"/>
      <c r="H190" s="3"/>
      <c r="I190" s="3"/>
      <c r="J190" s="3"/>
      <c r="K190" s="3"/>
      <c r="L190" s="3"/>
      <c r="M190" s="3"/>
      <c r="N190" s="3"/>
      <c r="O190" s="3"/>
      <c r="P190" s="3"/>
      <c r="Q190" s="3"/>
      <c r="R190" s="3"/>
      <c r="S190" s="3"/>
      <c r="T190" s="3"/>
      <c r="U190" s="3"/>
      <c r="V190" s="3"/>
      <c r="W190" s="3"/>
      <c r="X190" s="3"/>
      <c r="Y190" s="3"/>
    </row>
    <row r="191" spans="1:25" ht="216">
      <c r="A191" s="221">
        <v>182</v>
      </c>
      <c r="B191" s="32" t="s">
        <v>515</v>
      </c>
      <c r="C191" s="234">
        <v>42766</v>
      </c>
      <c r="D191" s="221" t="s">
        <v>516</v>
      </c>
      <c r="E191" s="221" t="s">
        <v>517</v>
      </c>
      <c r="F191" s="200"/>
      <c r="G191" s="3"/>
      <c r="H191" s="3"/>
      <c r="I191" s="3"/>
      <c r="J191" s="3"/>
      <c r="K191" s="3"/>
      <c r="L191" s="3"/>
      <c r="M191" s="3"/>
      <c r="N191" s="3"/>
      <c r="O191" s="3"/>
      <c r="P191" s="3"/>
      <c r="Q191" s="3"/>
      <c r="R191" s="3"/>
      <c r="S191" s="3"/>
      <c r="T191" s="3"/>
      <c r="U191" s="3"/>
      <c r="V191" s="3"/>
      <c r="W191" s="3"/>
      <c r="X191" s="3"/>
      <c r="Y191" s="3"/>
    </row>
    <row r="192" spans="1:25" ht="402.6" customHeight="1">
      <c r="A192" s="221">
        <v>183</v>
      </c>
      <c r="B192" s="32" t="s">
        <v>518</v>
      </c>
      <c r="C192" s="234">
        <v>42803</v>
      </c>
      <c r="D192" s="221" t="s">
        <v>519</v>
      </c>
      <c r="E192" s="221" t="s">
        <v>520</v>
      </c>
      <c r="F192" s="200"/>
      <c r="G192" s="3"/>
      <c r="H192" s="3"/>
      <c r="I192" s="3"/>
      <c r="J192" s="3"/>
      <c r="K192" s="3"/>
      <c r="L192" s="3"/>
      <c r="M192" s="3"/>
      <c r="N192" s="3"/>
      <c r="O192" s="3"/>
      <c r="P192" s="3"/>
      <c r="Q192" s="3"/>
      <c r="R192" s="3"/>
      <c r="S192" s="3"/>
      <c r="T192" s="3"/>
      <c r="U192" s="3"/>
      <c r="V192" s="3"/>
      <c r="W192" s="3"/>
      <c r="X192" s="3"/>
      <c r="Y192" s="3"/>
    </row>
    <row r="193" spans="1:25" ht="187.2">
      <c r="A193" s="221">
        <v>184</v>
      </c>
      <c r="B193" s="32" t="s">
        <v>521</v>
      </c>
      <c r="C193" s="234">
        <v>42816</v>
      </c>
      <c r="D193" s="221" t="s">
        <v>522</v>
      </c>
      <c r="E193" s="221" t="s">
        <v>523</v>
      </c>
      <c r="F193" s="200"/>
      <c r="G193" s="3"/>
      <c r="H193" s="3"/>
      <c r="I193" s="3"/>
      <c r="J193" s="3"/>
      <c r="K193" s="3"/>
      <c r="L193" s="3"/>
      <c r="M193" s="3"/>
      <c r="N193" s="3"/>
      <c r="O193" s="3"/>
      <c r="P193" s="3"/>
      <c r="Q193" s="3"/>
      <c r="R193" s="3"/>
      <c r="S193" s="3"/>
      <c r="T193" s="3"/>
      <c r="U193" s="3"/>
      <c r="V193" s="3"/>
      <c r="W193" s="3"/>
      <c r="X193" s="3"/>
      <c r="Y193" s="3"/>
    </row>
    <row r="194" spans="1:25" ht="259.2">
      <c r="A194" s="221">
        <v>185</v>
      </c>
      <c r="B194" s="32" t="s">
        <v>524</v>
      </c>
      <c r="C194" s="234">
        <v>42864</v>
      </c>
      <c r="D194" s="221" t="s">
        <v>525</v>
      </c>
      <c r="E194" s="221" t="s">
        <v>526</v>
      </c>
      <c r="F194" s="200"/>
      <c r="G194" s="3"/>
      <c r="H194" s="3"/>
      <c r="I194" s="3"/>
      <c r="J194" s="3"/>
      <c r="K194" s="3"/>
      <c r="L194" s="3"/>
      <c r="M194" s="3"/>
      <c r="N194" s="3"/>
      <c r="O194" s="3"/>
      <c r="P194" s="3"/>
      <c r="Q194" s="3"/>
      <c r="R194" s="3"/>
      <c r="S194" s="3"/>
      <c r="T194" s="3"/>
      <c r="U194" s="3"/>
      <c r="V194" s="3"/>
      <c r="W194" s="3"/>
      <c r="X194" s="3"/>
      <c r="Y194" s="3"/>
    </row>
    <row r="195" spans="1:25" ht="86.4">
      <c r="A195" s="221">
        <v>186</v>
      </c>
      <c r="B195" s="32" t="s">
        <v>527</v>
      </c>
      <c r="C195" s="234">
        <v>42878</v>
      </c>
      <c r="D195" s="221" t="s">
        <v>528</v>
      </c>
      <c r="E195" s="221" t="s">
        <v>529</v>
      </c>
      <c r="F195" s="200"/>
      <c r="G195" s="3"/>
      <c r="H195" s="3"/>
      <c r="I195" s="3"/>
      <c r="J195" s="3"/>
      <c r="K195" s="3"/>
      <c r="L195" s="3"/>
      <c r="M195" s="3"/>
      <c r="N195" s="3"/>
      <c r="O195" s="3"/>
      <c r="P195" s="3"/>
      <c r="Q195" s="3"/>
      <c r="R195" s="3"/>
      <c r="S195" s="3"/>
      <c r="T195" s="3"/>
      <c r="U195" s="3"/>
      <c r="V195" s="3"/>
      <c r="W195" s="3"/>
      <c r="X195" s="3"/>
      <c r="Y195" s="3"/>
    </row>
    <row r="196" spans="1:25" ht="259.2">
      <c r="A196" s="221">
        <v>187</v>
      </c>
      <c r="B196" s="32" t="s">
        <v>530</v>
      </c>
      <c r="C196" s="234">
        <v>42887</v>
      </c>
      <c r="D196" s="221" t="s">
        <v>531</v>
      </c>
      <c r="E196" s="221" t="s">
        <v>532</v>
      </c>
      <c r="F196" s="200"/>
      <c r="G196" s="3"/>
      <c r="H196" s="3"/>
      <c r="I196" s="3"/>
      <c r="J196" s="3"/>
      <c r="K196" s="3"/>
      <c r="L196" s="3"/>
      <c r="M196" s="3"/>
      <c r="N196" s="3"/>
      <c r="O196" s="3"/>
      <c r="P196" s="3"/>
      <c r="Q196" s="3"/>
      <c r="R196" s="3"/>
      <c r="S196" s="3"/>
      <c r="T196" s="3"/>
      <c r="U196" s="3"/>
      <c r="V196" s="3"/>
      <c r="W196" s="3"/>
      <c r="X196" s="3"/>
      <c r="Y196" s="3"/>
    </row>
    <row r="197" spans="1:25" ht="187.2">
      <c r="A197" s="221">
        <v>188</v>
      </c>
      <c r="B197" s="32" t="s">
        <v>533</v>
      </c>
      <c r="C197" s="234">
        <v>42956</v>
      </c>
      <c r="D197" s="221" t="s">
        <v>534</v>
      </c>
      <c r="E197" s="221" t="s">
        <v>535</v>
      </c>
      <c r="F197" s="200"/>
      <c r="G197" s="3"/>
      <c r="H197" s="3"/>
      <c r="I197" s="3"/>
      <c r="J197" s="3"/>
      <c r="K197" s="3"/>
      <c r="L197" s="3"/>
      <c r="M197" s="3"/>
      <c r="N197" s="3"/>
      <c r="O197" s="3"/>
      <c r="P197" s="3"/>
      <c r="Q197" s="3"/>
      <c r="R197" s="3"/>
      <c r="S197" s="3"/>
      <c r="T197" s="3"/>
      <c r="U197" s="3"/>
      <c r="V197" s="3"/>
      <c r="W197" s="3"/>
      <c r="X197" s="3"/>
      <c r="Y197" s="3"/>
    </row>
    <row r="198" spans="1:25" ht="158.4">
      <c r="A198" s="221">
        <v>189</v>
      </c>
      <c r="B198" s="32" t="s">
        <v>536</v>
      </c>
      <c r="C198" s="234">
        <v>42956</v>
      </c>
      <c r="D198" s="221" t="s">
        <v>537</v>
      </c>
      <c r="E198" s="221" t="s">
        <v>538</v>
      </c>
      <c r="F198" s="200"/>
      <c r="G198" s="3"/>
      <c r="H198" s="3"/>
      <c r="I198" s="3"/>
      <c r="J198" s="3"/>
      <c r="K198" s="3"/>
      <c r="L198" s="3"/>
      <c r="M198" s="3"/>
      <c r="N198" s="3"/>
      <c r="O198" s="3"/>
      <c r="P198" s="3"/>
      <c r="Q198" s="3"/>
      <c r="R198" s="3"/>
      <c r="S198" s="3"/>
      <c r="T198" s="3"/>
      <c r="U198" s="3"/>
      <c r="V198" s="3"/>
      <c r="W198" s="3"/>
      <c r="X198" s="3"/>
      <c r="Y198" s="3"/>
    </row>
    <row r="199" spans="1:25" ht="86.4">
      <c r="A199" s="221">
        <v>190</v>
      </c>
      <c r="B199" s="32" t="s">
        <v>539</v>
      </c>
      <c r="C199" s="234">
        <f>DATE(2017,8, 31)</f>
        <v>42978</v>
      </c>
      <c r="D199" s="221" t="s">
        <v>540</v>
      </c>
      <c r="E199" s="221" t="s">
        <v>541</v>
      </c>
      <c r="F199" s="200"/>
      <c r="G199" s="3"/>
      <c r="H199" s="3"/>
      <c r="I199" s="3"/>
      <c r="J199" s="3"/>
      <c r="K199" s="3"/>
      <c r="L199" s="3"/>
      <c r="M199" s="3"/>
      <c r="N199" s="3"/>
      <c r="O199" s="3"/>
      <c r="P199" s="3"/>
      <c r="Q199" s="3"/>
      <c r="R199" s="3"/>
      <c r="S199" s="3"/>
      <c r="T199" s="3"/>
      <c r="U199" s="3"/>
      <c r="V199" s="3"/>
      <c r="W199" s="3"/>
      <c r="X199" s="3"/>
      <c r="Y199" s="3"/>
    </row>
    <row r="200" spans="1:25" ht="259.2">
      <c r="A200" s="221">
        <v>191</v>
      </c>
      <c r="B200" s="32" t="s">
        <v>542</v>
      </c>
      <c r="C200" s="234">
        <v>43112</v>
      </c>
      <c r="D200" s="221" t="s">
        <v>543</v>
      </c>
      <c r="E200" s="221" t="s">
        <v>21</v>
      </c>
      <c r="F200" s="200"/>
      <c r="G200" s="3"/>
      <c r="H200" s="3"/>
      <c r="I200" s="3"/>
      <c r="J200" s="3"/>
      <c r="K200" s="3"/>
      <c r="L200" s="3"/>
      <c r="M200" s="3"/>
      <c r="N200" s="3"/>
      <c r="O200" s="3"/>
      <c r="P200" s="3"/>
      <c r="Q200" s="3"/>
      <c r="R200" s="3"/>
      <c r="S200" s="3"/>
      <c r="T200" s="3"/>
      <c r="U200" s="3"/>
      <c r="V200" s="3"/>
      <c r="W200" s="3"/>
      <c r="X200" s="3"/>
      <c r="Y200" s="3"/>
    </row>
    <row r="201" spans="1:25" ht="201.6">
      <c r="A201" s="221">
        <v>192</v>
      </c>
      <c r="B201" s="32" t="s">
        <v>544</v>
      </c>
      <c r="C201" s="234">
        <v>43145</v>
      </c>
      <c r="D201" s="221" t="s">
        <v>545</v>
      </c>
      <c r="E201" s="221" t="s">
        <v>546</v>
      </c>
      <c r="F201" s="200"/>
      <c r="G201" s="3"/>
      <c r="H201" s="3"/>
      <c r="I201" s="3"/>
      <c r="J201" s="3"/>
      <c r="K201" s="3"/>
      <c r="L201" s="3"/>
      <c r="M201" s="3"/>
      <c r="N201" s="3"/>
      <c r="O201" s="3"/>
      <c r="P201" s="3"/>
      <c r="Q201" s="3"/>
      <c r="R201" s="3"/>
      <c r="S201" s="3"/>
      <c r="T201" s="3"/>
      <c r="U201" s="3"/>
      <c r="V201" s="3"/>
      <c r="W201" s="3"/>
      <c r="X201" s="3"/>
      <c r="Y201" s="3"/>
    </row>
    <row r="202" spans="1:25" ht="100.8">
      <c r="A202" s="221">
        <v>193</v>
      </c>
      <c r="B202" s="32" t="s">
        <v>547</v>
      </c>
      <c r="C202" s="234">
        <v>43154</v>
      </c>
      <c r="D202" s="221" t="s">
        <v>548</v>
      </c>
      <c r="E202" s="221" t="s">
        <v>549</v>
      </c>
      <c r="F202" s="200"/>
      <c r="G202" s="3"/>
      <c r="H202" s="3"/>
      <c r="I202" s="3"/>
      <c r="J202" s="3"/>
      <c r="K202" s="3"/>
      <c r="L202" s="3"/>
      <c r="M202" s="3"/>
      <c r="N202" s="3"/>
      <c r="O202" s="3"/>
      <c r="P202" s="3"/>
      <c r="Q202" s="3"/>
      <c r="R202" s="3"/>
      <c r="S202" s="3"/>
      <c r="T202" s="3"/>
      <c r="U202" s="3"/>
      <c r="V202" s="3"/>
      <c r="W202" s="3"/>
      <c r="X202" s="3"/>
      <c r="Y202" s="3"/>
    </row>
    <row r="203" spans="1:25" ht="158.4">
      <c r="A203" s="221">
        <v>194</v>
      </c>
      <c r="B203" s="32" t="s">
        <v>550</v>
      </c>
      <c r="C203" s="234">
        <v>43154</v>
      </c>
      <c r="D203" s="221" t="s">
        <v>551</v>
      </c>
      <c r="E203" s="221" t="s">
        <v>549</v>
      </c>
      <c r="F203" s="200"/>
      <c r="G203" s="3"/>
      <c r="H203" s="3"/>
      <c r="I203" s="3"/>
      <c r="J203" s="3"/>
      <c r="K203" s="3"/>
      <c r="L203" s="3"/>
      <c r="M203" s="3"/>
      <c r="N203" s="3"/>
      <c r="O203" s="3"/>
      <c r="P203" s="3"/>
      <c r="Q203" s="3"/>
      <c r="R203" s="3"/>
      <c r="S203" s="3"/>
      <c r="T203" s="3"/>
      <c r="U203" s="3"/>
      <c r="V203" s="3"/>
      <c r="W203" s="3"/>
      <c r="X203" s="3"/>
      <c r="Y203" s="3"/>
    </row>
    <row r="204" spans="1:25" ht="100.8">
      <c r="A204" s="221">
        <v>195</v>
      </c>
      <c r="B204" s="32" t="s">
        <v>552</v>
      </c>
      <c r="C204" s="234">
        <v>43164</v>
      </c>
      <c r="D204" s="221" t="s">
        <v>553</v>
      </c>
      <c r="E204" s="221" t="s">
        <v>554</v>
      </c>
      <c r="F204" s="200"/>
      <c r="G204" s="3"/>
      <c r="H204" s="3"/>
      <c r="I204" s="3"/>
      <c r="J204" s="3"/>
      <c r="K204" s="3"/>
      <c r="L204" s="3"/>
      <c r="M204" s="3"/>
      <c r="N204" s="3"/>
      <c r="O204" s="3"/>
      <c r="P204" s="3"/>
      <c r="Q204" s="3"/>
      <c r="R204" s="3"/>
      <c r="S204" s="3"/>
      <c r="T204" s="3"/>
      <c r="U204" s="3"/>
      <c r="V204" s="3"/>
      <c r="W204" s="3"/>
      <c r="X204" s="3"/>
      <c r="Y204" s="3"/>
    </row>
    <row r="205" spans="1:25" ht="86.4">
      <c r="A205" s="221">
        <v>196</v>
      </c>
      <c r="B205" s="32" t="s">
        <v>555</v>
      </c>
      <c r="C205" s="234">
        <v>43165</v>
      </c>
      <c r="D205" s="221" t="s">
        <v>556</v>
      </c>
      <c r="E205" s="221" t="s">
        <v>557</v>
      </c>
      <c r="F205" s="200"/>
      <c r="G205" s="3"/>
      <c r="H205" s="3"/>
      <c r="I205" s="3"/>
      <c r="J205" s="3"/>
      <c r="K205" s="3"/>
      <c r="L205" s="3"/>
      <c r="M205" s="3"/>
      <c r="N205" s="3"/>
      <c r="O205" s="3"/>
      <c r="P205" s="3"/>
      <c r="Q205" s="3"/>
      <c r="R205" s="3"/>
      <c r="S205" s="3"/>
      <c r="T205" s="3"/>
      <c r="U205" s="3"/>
      <c r="V205" s="3"/>
      <c r="W205" s="3"/>
      <c r="X205" s="3"/>
      <c r="Y205" s="3"/>
    </row>
    <row r="206" spans="1:25" ht="72">
      <c r="A206" s="221">
        <v>197</v>
      </c>
      <c r="B206" s="32" t="s">
        <v>558</v>
      </c>
      <c r="C206" s="234">
        <v>43167</v>
      </c>
      <c r="D206" s="221" t="s">
        <v>559</v>
      </c>
      <c r="E206" s="221" t="s">
        <v>560</v>
      </c>
      <c r="F206" s="200"/>
      <c r="G206" s="3"/>
      <c r="H206" s="3"/>
      <c r="I206" s="3"/>
      <c r="J206" s="3"/>
      <c r="K206" s="3"/>
      <c r="L206" s="3"/>
      <c r="M206" s="3"/>
      <c r="N206" s="3"/>
      <c r="O206" s="3"/>
      <c r="P206" s="3"/>
      <c r="Q206" s="3"/>
      <c r="R206" s="3"/>
      <c r="S206" s="3"/>
      <c r="T206" s="3"/>
      <c r="U206" s="3"/>
      <c r="V206" s="3"/>
      <c r="W206" s="3"/>
      <c r="X206" s="3"/>
      <c r="Y206" s="3"/>
    </row>
    <row r="207" spans="1:25" ht="86.4">
      <c r="A207" s="221">
        <v>198</v>
      </c>
      <c r="B207" s="202" t="s">
        <v>561</v>
      </c>
      <c r="C207" s="234">
        <v>43178</v>
      </c>
      <c r="D207" s="281" t="s">
        <v>562</v>
      </c>
      <c r="E207" s="221" t="s">
        <v>21</v>
      </c>
      <c r="F207" s="200"/>
      <c r="G207" s="3"/>
      <c r="H207" s="3"/>
      <c r="I207" s="3"/>
      <c r="J207" s="3"/>
      <c r="K207" s="3"/>
      <c r="L207" s="3"/>
      <c r="M207" s="3"/>
      <c r="N207" s="3"/>
      <c r="O207" s="3"/>
      <c r="P207" s="3"/>
      <c r="Q207" s="3"/>
      <c r="R207" s="3"/>
      <c r="S207" s="3"/>
      <c r="T207" s="3"/>
      <c r="U207" s="3"/>
      <c r="V207" s="3"/>
      <c r="W207" s="3"/>
      <c r="X207" s="3"/>
      <c r="Y207" s="3"/>
    </row>
    <row r="208" spans="1:25" ht="201.6">
      <c r="A208" s="221">
        <v>199</v>
      </c>
      <c r="B208" s="32" t="s">
        <v>563</v>
      </c>
      <c r="C208" s="234">
        <v>43218</v>
      </c>
      <c r="D208" s="221" t="s">
        <v>564</v>
      </c>
      <c r="E208" s="221" t="s">
        <v>369</v>
      </c>
      <c r="F208" s="200"/>
      <c r="G208" s="3"/>
      <c r="H208" s="3"/>
      <c r="I208" s="3"/>
      <c r="J208" s="3"/>
      <c r="K208" s="3"/>
      <c r="L208" s="3"/>
      <c r="M208" s="3"/>
      <c r="N208" s="3"/>
      <c r="O208" s="3"/>
      <c r="P208" s="3"/>
      <c r="Q208" s="3"/>
      <c r="R208" s="3"/>
      <c r="S208" s="3"/>
      <c r="T208" s="3"/>
      <c r="U208" s="3"/>
      <c r="V208" s="3"/>
      <c r="W208" s="3"/>
      <c r="X208" s="3"/>
      <c r="Y208" s="3"/>
    </row>
    <row r="209" spans="1:25" ht="100.8">
      <c r="A209" s="221">
        <v>200</v>
      </c>
      <c r="B209" s="32" t="s">
        <v>565</v>
      </c>
      <c r="C209" s="234">
        <v>43223</v>
      </c>
      <c r="D209" s="221" t="s">
        <v>566</v>
      </c>
      <c r="E209" s="221" t="s">
        <v>4899</v>
      </c>
      <c r="F209" s="200"/>
      <c r="G209" s="3"/>
      <c r="H209" s="3"/>
      <c r="I209" s="3"/>
      <c r="J209" s="3"/>
      <c r="K209" s="3"/>
      <c r="L209" s="3"/>
      <c r="M209" s="3"/>
      <c r="N209" s="3"/>
      <c r="O209" s="3"/>
      <c r="P209" s="3"/>
      <c r="Q209" s="3"/>
      <c r="R209" s="3"/>
      <c r="S209" s="3"/>
      <c r="T209" s="3"/>
      <c r="U209" s="3"/>
      <c r="V209" s="3"/>
      <c r="W209" s="3"/>
      <c r="X209" s="3"/>
      <c r="Y209" s="3"/>
    </row>
    <row r="210" spans="1:25" ht="144">
      <c r="A210" s="221">
        <v>201</v>
      </c>
      <c r="B210" s="32" t="s">
        <v>567</v>
      </c>
      <c r="C210" s="234">
        <v>43223</v>
      </c>
      <c r="D210" s="221" t="s">
        <v>568</v>
      </c>
      <c r="E210" s="221" t="s">
        <v>569</v>
      </c>
      <c r="F210" s="200"/>
      <c r="G210" s="3"/>
      <c r="H210" s="3"/>
      <c r="I210" s="3"/>
      <c r="J210" s="3"/>
      <c r="K210" s="3"/>
      <c r="L210" s="3"/>
      <c r="M210" s="3"/>
      <c r="N210" s="3"/>
      <c r="O210" s="3"/>
      <c r="P210" s="3"/>
      <c r="Q210" s="3"/>
      <c r="R210" s="3"/>
      <c r="S210" s="3"/>
      <c r="T210" s="3"/>
      <c r="U210" s="3"/>
      <c r="V210" s="3"/>
      <c r="W210" s="3"/>
      <c r="X210" s="3"/>
      <c r="Y210" s="3"/>
    </row>
    <row r="211" spans="1:25" ht="100.8">
      <c r="A211" s="221">
        <v>202</v>
      </c>
      <c r="B211" s="32" t="s">
        <v>570</v>
      </c>
      <c r="C211" s="234">
        <v>43230</v>
      </c>
      <c r="D211" s="221" t="s">
        <v>571</v>
      </c>
      <c r="E211" s="221" t="s">
        <v>572</v>
      </c>
      <c r="F211" s="200"/>
      <c r="G211" s="3"/>
      <c r="H211" s="3"/>
      <c r="I211" s="3"/>
      <c r="J211" s="3"/>
      <c r="K211" s="3"/>
      <c r="L211" s="3"/>
      <c r="M211" s="3"/>
      <c r="N211" s="3"/>
      <c r="O211" s="3"/>
      <c r="P211" s="3"/>
      <c r="Q211" s="3"/>
      <c r="R211" s="3"/>
      <c r="S211" s="3"/>
      <c r="T211" s="3"/>
      <c r="U211" s="3"/>
      <c r="V211" s="3"/>
      <c r="W211" s="3"/>
      <c r="X211" s="3"/>
      <c r="Y211" s="3"/>
    </row>
    <row r="212" spans="1:25" ht="72">
      <c r="A212" s="221">
        <v>203</v>
      </c>
      <c r="B212" s="32" t="s">
        <v>573</v>
      </c>
      <c r="C212" s="234">
        <v>43235</v>
      </c>
      <c r="D212" s="221" t="s">
        <v>574</v>
      </c>
      <c r="E212" s="221" t="s">
        <v>575</v>
      </c>
      <c r="F212" s="200"/>
      <c r="G212" s="3"/>
      <c r="H212" s="3"/>
      <c r="I212" s="3"/>
      <c r="J212" s="3"/>
      <c r="K212" s="3"/>
      <c r="L212" s="3"/>
      <c r="M212" s="3"/>
      <c r="N212" s="3"/>
      <c r="O212" s="3"/>
      <c r="P212" s="3"/>
      <c r="Q212" s="3"/>
      <c r="R212" s="3"/>
      <c r="S212" s="3"/>
      <c r="T212" s="3"/>
      <c r="U212" s="3"/>
      <c r="V212" s="3"/>
      <c r="W212" s="3"/>
      <c r="X212" s="3"/>
      <c r="Y212" s="3"/>
    </row>
    <row r="213" spans="1:25" ht="273.60000000000002">
      <c r="A213" s="221">
        <v>204</v>
      </c>
      <c r="B213" s="32" t="s">
        <v>576</v>
      </c>
      <c r="C213" s="234">
        <v>43242</v>
      </c>
      <c r="D213" s="221" t="s">
        <v>577</v>
      </c>
      <c r="E213" s="221" t="s">
        <v>578</v>
      </c>
      <c r="F213" s="200"/>
      <c r="G213" s="3"/>
      <c r="H213" s="3"/>
      <c r="I213" s="3"/>
      <c r="J213" s="3"/>
      <c r="K213" s="3"/>
      <c r="L213" s="3"/>
      <c r="M213" s="3"/>
      <c r="N213" s="3"/>
      <c r="O213" s="3"/>
      <c r="P213" s="3"/>
      <c r="Q213" s="3"/>
      <c r="R213" s="3"/>
      <c r="S213" s="3"/>
      <c r="T213" s="3"/>
      <c r="U213" s="3"/>
      <c r="V213" s="3"/>
      <c r="W213" s="3"/>
      <c r="X213" s="3"/>
      <c r="Y213" s="3"/>
    </row>
    <row r="214" spans="1:25" ht="302.39999999999998">
      <c r="A214" s="221">
        <v>205</v>
      </c>
      <c r="B214" s="32" t="s">
        <v>579</v>
      </c>
      <c r="C214" s="234">
        <v>43243</v>
      </c>
      <c r="D214" s="221" t="s">
        <v>580</v>
      </c>
      <c r="E214" s="221" t="s">
        <v>581</v>
      </c>
      <c r="F214" s="200"/>
      <c r="G214" s="3"/>
      <c r="H214" s="3"/>
      <c r="I214" s="3"/>
      <c r="J214" s="3"/>
      <c r="K214" s="3"/>
      <c r="L214" s="3"/>
      <c r="M214" s="3"/>
      <c r="N214" s="3"/>
      <c r="O214" s="3"/>
      <c r="P214" s="3"/>
      <c r="Q214" s="3"/>
      <c r="R214" s="3"/>
      <c r="S214" s="3"/>
      <c r="T214" s="3"/>
      <c r="U214" s="3"/>
      <c r="V214" s="3"/>
      <c r="W214" s="3"/>
      <c r="X214" s="3"/>
      <c r="Y214" s="3"/>
    </row>
    <row r="215" spans="1:25" ht="288">
      <c r="A215" s="221">
        <v>206</v>
      </c>
      <c r="B215" s="32" t="s">
        <v>582</v>
      </c>
      <c r="C215" s="234">
        <v>43244</v>
      </c>
      <c r="D215" s="221" t="s">
        <v>583</v>
      </c>
      <c r="E215" s="221" t="s">
        <v>584</v>
      </c>
      <c r="F215" s="200"/>
      <c r="G215" s="3"/>
      <c r="H215" s="3"/>
      <c r="I215" s="3"/>
      <c r="J215" s="3"/>
      <c r="K215" s="3"/>
      <c r="L215" s="3"/>
      <c r="M215" s="3"/>
      <c r="N215" s="3"/>
      <c r="O215" s="3"/>
      <c r="P215" s="3"/>
      <c r="Q215" s="3"/>
      <c r="R215" s="3"/>
      <c r="S215" s="3"/>
      <c r="T215" s="3"/>
      <c r="U215" s="3"/>
      <c r="V215" s="3"/>
      <c r="W215" s="3"/>
      <c r="X215" s="3"/>
      <c r="Y215" s="3"/>
    </row>
    <row r="216" spans="1:25" ht="304.8" customHeight="1">
      <c r="A216" s="221">
        <v>207</v>
      </c>
      <c r="B216" s="32" t="s">
        <v>585</v>
      </c>
      <c r="C216" s="234">
        <v>43245</v>
      </c>
      <c r="D216" s="221" t="s">
        <v>586</v>
      </c>
      <c r="E216" s="221" t="s">
        <v>578</v>
      </c>
      <c r="F216" s="200"/>
      <c r="G216" s="3"/>
      <c r="H216" s="3"/>
      <c r="I216" s="3"/>
      <c r="J216" s="3"/>
      <c r="K216" s="3"/>
      <c r="L216" s="3"/>
      <c r="M216" s="3"/>
      <c r="N216" s="3"/>
      <c r="O216" s="3"/>
      <c r="P216" s="3"/>
      <c r="Q216" s="3"/>
      <c r="R216" s="3"/>
      <c r="S216" s="3"/>
      <c r="T216" s="3"/>
      <c r="U216" s="3"/>
      <c r="V216" s="3"/>
      <c r="W216" s="3"/>
      <c r="X216" s="3"/>
      <c r="Y216" s="3"/>
    </row>
    <row r="217" spans="1:25" ht="100.8">
      <c r="A217" s="221">
        <v>208</v>
      </c>
      <c r="B217" s="32" t="s">
        <v>587</v>
      </c>
      <c r="C217" s="234">
        <v>43249</v>
      </c>
      <c r="D217" s="221" t="s">
        <v>588</v>
      </c>
      <c r="E217" s="221" t="s">
        <v>589</v>
      </c>
      <c r="F217" s="200"/>
      <c r="G217" s="3"/>
      <c r="H217" s="3"/>
      <c r="I217" s="3"/>
      <c r="J217" s="3"/>
      <c r="K217" s="3"/>
      <c r="L217" s="3"/>
      <c r="M217" s="3"/>
      <c r="N217" s="3"/>
      <c r="O217" s="3"/>
      <c r="P217" s="3"/>
      <c r="Q217" s="3"/>
      <c r="R217" s="3"/>
      <c r="S217" s="3"/>
      <c r="T217" s="3"/>
      <c r="U217" s="3"/>
      <c r="V217" s="3"/>
      <c r="W217" s="3"/>
      <c r="X217" s="3"/>
      <c r="Y217" s="3"/>
    </row>
    <row r="218" spans="1:25" ht="172.8">
      <c r="A218" s="221">
        <v>209</v>
      </c>
      <c r="B218" s="32" t="s">
        <v>590</v>
      </c>
      <c r="C218" s="234">
        <v>43249</v>
      </c>
      <c r="D218" s="221" t="s">
        <v>591</v>
      </c>
      <c r="E218" s="221" t="s">
        <v>21</v>
      </c>
      <c r="F218" s="200"/>
      <c r="G218" s="3"/>
      <c r="H218" s="3"/>
      <c r="I218" s="3"/>
      <c r="J218" s="3"/>
      <c r="K218" s="3"/>
      <c r="L218" s="3"/>
      <c r="M218" s="3"/>
      <c r="N218" s="3"/>
      <c r="O218" s="3"/>
      <c r="P218" s="3"/>
      <c r="Q218" s="3"/>
      <c r="R218" s="3"/>
      <c r="S218" s="3"/>
      <c r="T218" s="3"/>
      <c r="U218" s="3"/>
      <c r="V218" s="3"/>
      <c r="W218" s="3"/>
      <c r="X218" s="3"/>
      <c r="Y218" s="3"/>
    </row>
    <row r="219" spans="1:25" ht="158.4">
      <c r="A219" s="221">
        <v>210</v>
      </c>
      <c r="B219" s="32" t="s">
        <v>592</v>
      </c>
      <c r="C219" s="234">
        <v>43249</v>
      </c>
      <c r="D219" s="221" t="s">
        <v>593</v>
      </c>
      <c r="E219" s="221" t="s">
        <v>594</v>
      </c>
      <c r="F219" s="200"/>
      <c r="G219" s="3"/>
      <c r="H219" s="3"/>
      <c r="I219" s="3"/>
      <c r="J219" s="3"/>
      <c r="K219" s="3"/>
      <c r="L219" s="3"/>
      <c r="M219" s="3"/>
      <c r="N219" s="3"/>
      <c r="O219" s="3"/>
      <c r="P219" s="3"/>
      <c r="Q219" s="3"/>
      <c r="R219" s="3"/>
      <c r="S219" s="3"/>
      <c r="T219" s="3"/>
      <c r="U219" s="3"/>
      <c r="V219" s="3"/>
      <c r="W219" s="3"/>
      <c r="X219" s="3"/>
      <c r="Y219" s="3"/>
    </row>
    <row r="220" spans="1:25" ht="409.6" customHeight="1">
      <c r="A220" s="221">
        <v>211</v>
      </c>
      <c r="B220" s="32" t="s">
        <v>595</v>
      </c>
      <c r="C220" s="234">
        <v>43287</v>
      </c>
      <c r="D220" s="221" t="s">
        <v>596</v>
      </c>
      <c r="E220" s="221" t="s">
        <v>597</v>
      </c>
      <c r="F220" s="200"/>
      <c r="G220" s="3"/>
      <c r="H220" s="3"/>
      <c r="I220" s="3"/>
      <c r="J220" s="3"/>
      <c r="K220" s="3"/>
      <c r="L220" s="3"/>
      <c r="M220" s="3"/>
      <c r="N220" s="3"/>
      <c r="O220" s="3"/>
      <c r="P220" s="3"/>
      <c r="Q220" s="3"/>
      <c r="R220" s="3"/>
      <c r="S220" s="3"/>
      <c r="T220" s="3"/>
      <c r="U220" s="3"/>
      <c r="V220" s="3"/>
      <c r="W220" s="3"/>
      <c r="X220" s="3"/>
      <c r="Y220" s="3"/>
    </row>
    <row r="221" spans="1:25" ht="100.8">
      <c r="A221" s="221">
        <v>212</v>
      </c>
      <c r="B221" s="32" t="s">
        <v>598</v>
      </c>
      <c r="C221" s="234">
        <v>43293</v>
      </c>
      <c r="D221" s="221" t="s">
        <v>599</v>
      </c>
      <c r="E221" s="221" t="s">
        <v>600</v>
      </c>
      <c r="F221" s="200"/>
      <c r="G221" s="3"/>
      <c r="H221" s="3"/>
      <c r="I221" s="3"/>
      <c r="J221" s="3"/>
      <c r="K221" s="3"/>
      <c r="L221" s="3"/>
      <c r="M221" s="3"/>
      <c r="N221" s="3"/>
      <c r="O221" s="3"/>
      <c r="P221" s="3"/>
      <c r="Q221" s="3"/>
      <c r="R221" s="3"/>
      <c r="S221" s="3"/>
      <c r="T221" s="3"/>
      <c r="U221" s="3"/>
      <c r="V221" s="3"/>
      <c r="W221" s="3"/>
      <c r="X221" s="3"/>
      <c r="Y221" s="3"/>
    </row>
    <row r="222" spans="1:25" ht="100.8">
      <c r="A222" s="221">
        <v>213</v>
      </c>
      <c r="B222" s="204" t="s">
        <v>601</v>
      </c>
      <c r="C222" s="234">
        <v>43293</v>
      </c>
      <c r="D222" s="221" t="s">
        <v>602</v>
      </c>
      <c r="E222" s="221" t="s">
        <v>600</v>
      </c>
      <c r="F222" s="200"/>
      <c r="G222" s="3"/>
      <c r="H222" s="3"/>
      <c r="I222" s="3"/>
      <c r="J222" s="3"/>
      <c r="K222" s="3"/>
      <c r="L222" s="3"/>
      <c r="M222" s="3"/>
      <c r="N222" s="3"/>
      <c r="O222" s="3"/>
      <c r="P222" s="3"/>
      <c r="Q222" s="3"/>
      <c r="R222" s="3"/>
      <c r="S222" s="3"/>
      <c r="T222" s="3"/>
      <c r="U222" s="3"/>
      <c r="V222" s="3"/>
      <c r="W222" s="3"/>
      <c r="X222" s="3"/>
      <c r="Y222" s="3"/>
    </row>
    <row r="223" spans="1:25" ht="72">
      <c r="A223" s="221">
        <v>214</v>
      </c>
      <c r="B223" s="32" t="s">
        <v>603</v>
      </c>
      <c r="C223" s="234">
        <v>43294</v>
      </c>
      <c r="D223" s="221" t="s">
        <v>604</v>
      </c>
      <c r="E223" s="221" t="s">
        <v>605</v>
      </c>
      <c r="F223" s="200"/>
      <c r="G223" s="3"/>
      <c r="H223" s="3"/>
      <c r="I223" s="3"/>
      <c r="J223" s="3"/>
      <c r="K223" s="3"/>
      <c r="L223" s="3"/>
      <c r="M223" s="3"/>
      <c r="N223" s="3"/>
      <c r="O223" s="3"/>
      <c r="P223" s="3"/>
      <c r="Q223" s="3"/>
      <c r="R223" s="3"/>
      <c r="S223" s="3"/>
      <c r="T223" s="3"/>
      <c r="U223" s="3"/>
      <c r="V223" s="3"/>
      <c r="W223" s="3"/>
      <c r="X223" s="3"/>
      <c r="Y223" s="3"/>
    </row>
    <row r="224" spans="1:25" ht="187.2">
      <c r="A224" s="221">
        <v>215</v>
      </c>
      <c r="B224" s="32" t="s">
        <v>606</v>
      </c>
      <c r="C224" s="234">
        <v>43297</v>
      </c>
      <c r="D224" s="221" t="s">
        <v>607</v>
      </c>
      <c r="E224" s="221" t="s">
        <v>608</v>
      </c>
      <c r="F224" s="200"/>
      <c r="G224" s="3"/>
      <c r="H224" s="3"/>
      <c r="I224" s="3"/>
      <c r="J224" s="3"/>
      <c r="K224" s="3"/>
      <c r="L224" s="3"/>
      <c r="M224" s="3"/>
      <c r="N224" s="3"/>
      <c r="O224" s="3"/>
      <c r="P224" s="3"/>
      <c r="Q224" s="3"/>
      <c r="R224" s="3"/>
      <c r="S224" s="3"/>
      <c r="T224" s="3"/>
      <c r="U224" s="3"/>
      <c r="V224" s="3"/>
      <c r="W224" s="3"/>
      <c r="X224" s="3"/>
      <c r="Y224" s="3"/>
    </row>
    <row r="225" spans="1:25" ht="115.2">
      <c r="A225" s="221">
        <v>216</v>
      </c>
      <c r="B225" s="204" t="s">
        <v>609</v>
      </c>
      <c r="C225" s="234">
        <v>43297</v>
      </c>
      <c r="D225" s="221" t="s">
        <v>610</v>
      </c>
      <c r="E225" s="221" t="s">
        <v>608</v>
      </c>
      <c r="F225" s="200"/>
      <c r="G225" s="3"/>
      <c r="H225" s="3"/>
      <c r="I225" s="3"/>
      <c r="J225" s="3"/>
      <c r="K225" s="3"/>
      <c r="L225" s="3"/>
      <c r="M225" s="3"/>
      <c r="N225" s="3"/>
      <c r="O225" s="3"/>
      <c r="P225" s="3"/>
      <c r="Q225" s="3"/>
      <c r="R225" s="3"/>
      <c r="S225" s="3"/>
      <c r="T225" s="3"/>
      <c r="U225" s="3"/>
      <c r="V225" s="3"/>
      <c r="W225" s="3"/>
      <c r="X225" s="3"/>
      <c r="Y225" s="3"/>
    </row>
    <row r="226" spans="1:25" ht="187.2">
      <c r="A226" s="221">
        <v>217</v>
      </c>
      <c r="B226" s="32" t="s">
        <v>611</v>
      </c>
      <c r="C226" s="234">
        <v>43297</v>
      </c>
      <c r="D226" s="221" t="s">
        <v>612</v>
      </c>
      <c r="E226" s="221" t="s">
        <v>613</v>
      </c>
      <c r="F226" s="200"/>
      <c r="G226" s="3"/>
      <c r="H226" s="3"/>
      <c r="I226" s="3"/>
      <c r="J226" s="3"/>
      <c r="K226" s="3"/>
      <c r="L226" s="3"/>
      <c r="M226" s="3"/>
      <c r="N226" s="3"/>
      <c r="O226" s="3"/>
      <c r="P226" s="3"/>
      <c r="Q226" s="3"/>
      <c r="R226" s="3"/>
      <c r="S226" s="3"/>
      <c r="T226" s="3"/>
      <c r="U226" s="3"/>
      <c r="V226" s="3"/>
      <c r="W226" s="3"/>
      <c r="X226" s="3"/>
      <c r="Y226" s="3"/>
    </row>
    <row r="227" spans="1:25" ht="187.2">
      <c r="A227" s="221">
        <v>218</v>
      </c>
      <c r="B227" s="204" t="s">
        <v>614</v>
      </c>
      <c r="C227" s="234">
        <v>43297</v>
      </c>
      <c r="D227" s="221" t="s">
        <v>615</v>
      </c>
      <c r="E227" s="221" t="s">
        <v>7</v>
      </c>
      <c r="F227" s="200"/>
      <c r="G227" s="3"/>
      <c r="H227" s="3"/>
      <c r="I227" s="3"/>
      <c r="J227" s="3"/>
      <c r="K227" s="3"/>
      <c r="L227" s="3"/>
      <c r="M227" s="3"/>
      <c r="N227" s="3"/>
      <c r="O227" s="3"/>
      <c r="P227" s="3"/>
      <c r="Q227" s="3"/>
      <c r="R227" s="3"/>
      <c r="S227" s="3"/>
      <c r="T227" s="3"/>
      <c r="U227" s="3"/>
      <c r="V227" s="3"/>
      <c r="W227" s="3"/>
      <c r="X227" s="3"/>
      <c r="Y227" s="3"/>
    </row>
    <row r="228" spans="1:25" ht="172.8">
      <c r="A228" s="221">
        <v>219</v>
      </c>
      <c r="B228" s="32" t="s">
        <v>616</v>
      </c>
      <c r="C228" s="234">
        <v>43297</v>
      </c>
      <c r="D228" s="221" t="s">
        <v>617</v>
      </c>
      <c r="E228" s="221" t="s">
        <v>618</v>
      </c>
      <c r="F228" s="200"/>
      <c r="G228" s="3"/>
      <c r="H228" s="3"/>
      <c r="I228" s="3"/>
      <c r="J228" s="3"/>
      <c r="K228" s="3"/>
      <c r="L228" s="3"/>
      <c r="M228" s="3"/>
      <c r="N228" s="3"/>
      <c r="O228" s="3"/>
      <c r="P228" s="3"/>
      <c r="Q228" s="3"/>
      <c r="R228" s="3"/>
      <c r="S228" s="3"/>
      <c r="T228" s="3"/>
      <c r="U228" s="3"/>
      <c r="V228" s="3"/>
      <c r="W228" s="3"/>
      <c r="X228" s="3"/>
      <c r="Y228" s="3"/>
    </row>
    <row r="229" spans="1:25" ht="201.6">
      <c r="A229" s="221">
        <v>220</v>
      </c>
      <c r="B229" s="204" t="s">
        <v>619</v>
      </c>
      <c r="C229" s="234">
        <v>43304</v>
      </c>
      <c r="D229" s="221" t="s">
        <v>620</v>
      </c>
      <c r="E229" s="221" t="s">
        <v>621</v>
      </c>
      <c r="F229" s="200"/>
      <c r="G229" s="3"/>
      <c r="H229" s="3"/>
      <c r="I229" s="3"/>
      <c r="J229" s="3"/>
      <c r="K229" s="3"/>
      <c r="L229" s="3"/>
      <c r="M229" s="3"/>
      <c r="N229" s="3"/>
      <c r="O229" s="3"/>
      <c r="P229" s="3"/>
      <c r="Q229" s="3"/>
      <c r="R229" s="3"/>
      <c r="S229" s="3"/>
      <c r="T229" s="3"/>
      <c r="U229" s="3"/>
      <c r="V229" s="3"/>
      <c r="W229" s="3"/>
      <c r="X229" s="3"/>
      <c r="Y229" s="3"/>
    </row>
    <row r="230" spans="1:25" ht="57.6">
      <c r="A230" s="221">
        <v>221</v>
      </c>
      <c r="B230" s="32" t="s">
        <v>622</v>
      </c>
      <c r="C230" s="234">
        <v>43323</v>
      </c>
      <c r="D230" s="221" t="s">
        <v>623</v>
      </c>
      <c r="E230" s="221" t="s">
        <v>4898</v>
      </c>
      <c r="F230" s="200"/>
      <c r="G230" s="3"/>
      <c r="H230" s="3"/>
      <c r="I230" s="3"/>
      <c r="J230" s="3"/>
      <c r="K230" s="3"/>
      <c r="L230" s="3"/>
      <c r="M230" s="3"/>
      <c r="N230" s="3"/>
      <c r="O230" s="3"/>
      <c r="P230" s="3"/>
      <c r="Q230" s="3"/>
      <c r="R230" s="3"/>
      <c r="S230" s="3"/>
      <c r="T230" s="3"/>
      <c r="U230" s="3"/>
      <c r="V230" s="3"/>
      <c r="W230" s="3"/>
      <c r="X230" s="3"/>
      <c r="Y230" s="3"/>
    </row>
    <row r="231" spans="1:25" ht="86.4">
      <c r="A231" s="221">
        <v>222</v>
      </c>
      <c r="B231" s="32" t="s">
        <v>624</v>
      </c>
      <c r="C231" s="234">
        <v>43346</v>
      </c>
      <c r="D231" s="221" t="s">
        <v>625</v>
      </c>
      <c r="E231" s="32" t="s">
        <v>269</v>
      </c>
      <c r="F231" s="200"/>
      <c r="G231" s="3"/>
      <c r="H231" s="3"/>
      <c r="I231" s="3"/>
      <c r="J231" s="3"/>
      <c r="K231" s="3"/>
      <c r="L231" s="3"/>
      <c r="M231" s="3"/>
      <c r="N231" s="3"/>
      <c r="O231" s="3"/>
      <c r="P231" s="3"/>
      <c r="Q231" s="3"/>
      <c r="R231" s="3"/>
      <c r="S231" s="3"/>
      <c r="T231" s="3"/>
      <c r="U231" s="3"/>
      <c r="V231" s="3"/>
      <c r="W231" s="3"/>
      <c r="X231" s="3"/>
      <c r="Y231" s="3"/>
    </row>
    <row r="232" spans="1:25" ht="57.6">
      <c r="A232" s="221">
        <v>223</v>
      </c>
      <c r="B232" s="32" t="s">
        <v>626</v>
      </c>
      <c r="C232" s="234">
        <v>43347</v>
      </c>
      <c r="D232" s="221" t="s">
        <v>627</v>
      </c>
      <c r="E232" s="32" t="s">
        <v>628</v>
      </c>
      <c r="F232" s="200"/>
      <c r="G232" s="3"/>
      <c r="H232" s="3"/>
      <c r="I232" s="3"/>
      <c r="J232" s="3"/>
      <c r="K232" s="3"/>
      <c r="L232" s="3"/>
      <c r="M232" s="3"/>
      <c r="N232" s="3"/>
      <c r="O232" s="3"/>
      <c r="P232" s="3"/>
      <c r="Q232" s="3"/>
      <c r="R232" s="3"/>
      <c r="S232" s="3"/>
      <c r="T232" s="3"/>
      <c r="U232" s="3"/>
      <c r="V232" s="3"/>
      <c r="W232" s="3"/>
      <c r="X232" s="3"/>
      <c r="Y232" s="3"/>
    </row>
    <row r="233" spans="1:25" ht="57.6">
      <c r="A233" s="221">
        <v>224</v>
      </c>
      <c r="B233" s="32" t="s">
        <v>629</v>
      </c>
      <c r="C233" s="234">
        <v>43349</v>
      </c>
      <c r="D233" s="221" t="s">
        <v>630</v>
      </c>
      <c r="E233" s="32" t="s">
        <v>631</v>
      </c>
      <c r="F233" s="200"/>
      <c r="G233" s="3"/>
      <c r="H233" s="3"/>
      <c r="I233" s="3"/>
      <c r="J233" s="3"/>
      <c r="K233" s="3"/>
      <c r="L233" s="3"/>
      <c r="M233" s="3"/>
      <c r="N233" s="3"/>
      <c r="O233" s="3"/>
      <c r="P233" s="3"/>
      <c r="Q233" s="3"/>
      <c r="R233" s="3"/>
      <c r="S233" s="3"/>
      <c r="T233" s="3"/>
      <c r="U233" s="3"/>
      <c r="V233" s="3"/>
      <c r="W233" s="3"/>
      <c r="X233" s="3"/>
      <c r="Y233" s="3"/>
    </row>
    <row r="234" spans="1:25" ht="43.2">
      <c r="A234" s="221">
        <v>225</v>
      </c>
      <c r="B234" s="32" t="s">
        <v>632</v>
      </c>
      <c r="C234" s="234">
        <v>43350</v>
      </c>
      <c r="D234" s="221" t="s">
        <v>633</v>
      </c>
      <c r="E234" s="221" t="s">
        <v>634</v>
      </c>
      <c r="F234" s="200"/>
      <c r="G234" s="3"/>
      <c r="H234" s="3"/>
      <c r="I234" s="3"/>
      <c r="J234" s="3"/>
      <c r="K234" s="3"/>
      <c r="L234" s="3"/>
      <c r="M234" s="3"/>
      <c r="N234" s="3"/>
      <c r="O234" s="3"/>
      <c r="P234" s="3"/>
      <c r="Q234" s="3"/>
      <c r="R234" s="3"/>
      <c r="S234" s="3"/>
      <c r="T234" s="3"/>
      <c r="U234" s="3"/>
      <c r="V234" s="3"/>
      <c r="W234" s="3"/>
      <c r="X234" s="3"/>
      <c r="Y234" s="3"/>
    </row>
    <row r="235" spans="1:25" ht="86.4">
      <c r="A235" s="221">
        <v>226</v>
      </c>
      <c r="B235" s="32" t="s">
        <v>635</v>
      </c>
      <c r="C235" s="234">
        <v>43364</v>
      </c>
      <c r="D235" s="221" t="s">
        <v>636</v>
      </c>
      <c r="E235" s="221" t="s">
        <v>4897</v>
      </c>
      <c r="F235" s="200"/>
      <c r="G235" s="3"/>
      <c r="H235" s="3"/>
      <c r="I235" s="3"/>
      <c r="J235" s="3"/>
      <c r="K235" s="3"/>
      <c r="L235" s="3"/>
      <c r="M235" s="3"/>
      <c r="N235" s="3"/>
      <c r="O235" s="3"/>
      <c r="P235" s="3"/>
      <c r="Q235" s="3"/>
      <c r="R235" s="3"/>
      <c r="S235" s="3"/>
      <c r="T235" s="3"/>
      <c r="U235" s="3"/>
      <c r="V235" s="3"/>
      <c r="W235" s="3"/>
      <c r="X235" s="3"/>
      <c r="Y235" s="3"/>
    </row>
    <row r="236" spans="1:25" ht="57.6">
      <c r="A236" s="221">
        <v>227</v>
      </c>
      <c r="B236" s="32" t="s">
        <v>637</v>
      </c>
      <c r="C236" s="234">
        <v>43364</v>
      </c>
      <c r="D236" s="221" t="s">
        <v>638</v>
      </c>
      <c r="E236" s="221" t="s">
        <v>4896</v>
      </c>
      <c r="F236" s="200"/>
      <c r="G236" s="3"/>
      <c r="H236" s="3"/>
      <c r="I236" s="3"/>
      <c r="J236" s="3"/>
      <c r="K236" s="3"/>
      <c r="L236" s="3"/>
      <c r="M236" s="3"/>
      <c r="N236" s="3"/>
      <c r="O236" s="3"/>
      <c r="P236" s="3"/>
      <c r="Q236" s="3"/>
      <c r="R236" s="3"/>
      <c r="S236" s="3"/>
      <c r="T236" s="3"/>
      <c r="U236" s="3"/>
      <c r="V236" s="3"/>
      <c r="W236" s="3"/>
      <c r="X236" s="3"/>
      <c r="Y236" s="3"/>
    </row>
    <row r="237" spans="1:25" ht="115.2">
      <c r="A237" s="221">
        <v>228</v>
      </c>
      <c r="B237" s="204" t="s">
        <v>639</v>
      </c>
      <c r="C237" s="234">
        <v>43403</v>
      </c>
      <c r="D237" s="221" t="s">
        <v>640</v>
      </c>
      <c r="E237" s="221" t="s">
        <v>641</v>
      </c>
      <c r="F237" s="200"/>
      <c r="G237" s="3"/>
      <c r="H237" s="3"/>
      <c r="I237" s="3"/>
      <c r="J237" s="3"/>
      <c r="K237" s="3"/>
      <c r="L237" s="3"/>
      <c r="M237" s="3"/>
      <c r="N237" s="3"/>
      <c r="O237" s="3"/>
      <c r="P237" s="3"/>
      <c r="Q237" s="3"/>
      <c r="R237" s="3"/>
      <c r="S237" s="3"/>
      <c r="T237" s="3"/>
      <c r="U237" s="3"/>
      <c r="V237" s="3"/>
      <c r="W237" s="3"/>
      <c r="X237" s="3"/>
      <c r="Y237" s="3"/>
    </row>
    <row r="238" spans="1:25" ht="43.2">
      <c r="A238" s="221">
        <v>229</v>
      </c>
      <c r="B238" s="32" t="str">
        <f>HYPERLINK("https://www.microsave.net/2019/04/04/inclusive-fintechs-quadrant/","Inclusive FinTechs Quadrant")</f>
        <v>Inclusive FinTechs Quadrant</v>
      </c>
      <c r="C238" s="234">
        <v>43559</v>
      </c>
      <c r="D238" s="221" t="s">
        <v>642</v>
      </c>
      <c r="E238" s="221" t="s">
        <v>643</v>
      </c>
      <c r="F238" s="200"/>
      <c r="G238" s="3"/>
      <c r="H238" s="3"/>
      <c r="I238" s="3"/>
      <c r="J238" s="3"/>
      <c r="K238" s="3"/>
      <c r="L238" s="3"/>
      <c r="M238" s="3"/>
      <c r="N238" s="3"/>
      <c r="O238" s="3"/>
      <c r="P238" s="3"/>
      <c r="Q238" s="3"/>
      <c r="R238" s="3"/>
      <c r="S238" s="3"/>
      <c r="T238" s="3"/>
      <c r="U238" s="3"/>
      <c r="V238" s="3"/>
      <c r="W238" s="3"/>
      <c r="X238" s="3"/>
      <c r="Y238" s="3"/>
    </row>
    <row r="239" spans="1:25" ht="43.2">
      <c r="A239" s="221">
        <v>230</v>
      </c>
      <c r="B239" s="204" t="str">
        <f>HYPERLINK("https://www.microsave.net/2019/04/15/gender-centrality-of-mobile-financial-services-in-bangladesh/","Gender centrality of mobile financial services in Bangladesh")</f>
        <v>Gender centrality of mobile financial services in Bangladesh</v>
      </c>
      <c r="C239" s="234">
        <v>43570</v>
      </c>
      <c r="D239" s="221" t="s">
        <v>644</v>
      </c>
      <c r="E239" s="221" t="s">
        <v>645</v>
      </c>
      <c r="F239" s="200"/>
      <c r="G239" s="3"/>
      <c r="H239" s="3"/>
      <c r="I239" s="3"/>
      <c r="J239" s="3"/>
      <c r="K239" s="3"/>
      <c r="L239" s="3"/>
      <c r="M239" s="3"/>
      <c r="N239" s="3"/>
      <c r="O239" s="3"/>
      <c r="P239" s="3"/>
      <c r="Q239" s="3"/>
      <c r="R239" s="3"/>
      <c r="S239" s="3"/>
      <c r="T239" s="3"/>
      <c r="U239" s="3"/>
      <c r="V239" s="3"/>
      <c r="W239" s="3"/>
      <c r="X239" s="3"/>
      <c r="Y239" s="3"/>
    </row>
    <row r="240" spans="1:25" ht="86.4">
      <c r="A240" s="221">
        <v>231</v>
      </c>
      <c r="B240" s="32" t="s">
        <v>646</v>
      </c>
      <c r="C240" s="234">
        <v>43612</v>
      </c>
      <c r="D240" s="221" t="s">
        <v>647</v>
      </c>
      <c r="E240" s="221" t="s">
        <v>648</v>
      </c>
      <c r="F240" s="200"/>
      <c r="G240" s="3"/>
      <c r="H240" s="3"/>
      <c r="I240" s="3"/>
      <c r="J240" s="3"/>
      <c r="K240" s="3"/>
      <c r="L240" s="3"/>
      <c r="M240" s="3"/>
      <c r="N240" s="3"/>
      <c r="O240" s="3"/>
      <c r="P240" s="3"/>
      <c r="Q240" s="3"/>
      <c r="R240" s="3"/>
      <c r="S240" s="3"/>
      <c r="T240" s="3"/>
      <c r="U240" s="3"/>
      <c r="V240" s="3"/>
      <c r="W240" s="3"/>
      <c r="X240" s="3"/>
      <c r="Y240" s="3"/>
    </row>
    <row r="241" spans="1:25" ht="86.4">
      <c r="A241" s="221">
        <v>232</v>
      </c>
      <c r="B241" s="32" t="str">
        <f>HYPERLINK("https://www.microsave.net/2019/06/24/enam-platform-to-digitize-the-marketing-of-agricultural-produce-in-india/","eNAM platform to digitize the marketing of agricultural produce in India")</f>
        <v>eNAM platform to digitize the marketing of agricultural produce in India</v>
      </c>
      <c r="C241" s="234">
        <v>43640</v>
      </c>
      <c r="D241" s="221" t="s">
        <v>649</v>
      </c>
      <c r="E241" s="231" t="s">
        <v>650</v>
      </c>
      <c r="F241" s="200"/>
      <c r="G241" s="3"/>
      <c r="H241" s="3"/>
      <c r="I241" s="3"/>
      <c r="J241" s="3"/>
      <c r="K241" s="3"/>
      <c r="L241" s="3"/>
      <c r="M241" s="3"/>
      <c r="N241" s="3"/>
      <c r="O241" s="3"/>
      <c r="P241" s="3"/>
      <c r="Q241" s="3"/>
      <c r="R241" s="3"/>
      <c r="S241" s="3"/>
      <c r="T241" s="3"/>
      <c r="U241" s="3"/>
      <c r="V241" s="3"/>
      <c r="W241" s="3"/>
      <c r="X241" s="3"/>
      <c r="Y241" s="3"/>
    </row>
    <row r="242" spans="1:25" ht="57.6">
      <c r="A242" s="221">
        <v>233</v>
      </c>
      <c r="B242" s="32" t="str">
        <f>HYPERLINK("https://www.microsave.net/2019/07/03/digital-governance-is-krishna-a-glimpse-of-the-future-2/","Digital Governance: Is Krishna a Glimpse of the Future?")</f>
        <v>Digital Governance: Is Krishna a Glimpse of the Future?</v>
      </c>
      <c r="C242" s="234">
        <v>43649</v>
      </c>
      <c r="D242" s="231" t="s">
        <v>651</v>
      </c>
      <c r="E242" s="221" t="s">
        <v>652</v>
      </c>
      <c r="F242" s="200"/>
      <c r="G242" s="3"/>
      <c r="H242" s="3"/>
      <c r="I242" s="3"/>
      <c r="J242" s="3"/>
      <c r="K242" s="3"/>
      <c r="L242" s="3"/>
      <c r="M242" s="3"/>
      <c r="N242" s="3"/>
      <c r="O242" s="3"/>
      <c r="P242" s="3"/>
      <c r="Q242" s="3"/>
      <c r="R242" s="3"/>
      <c r="S242" s="3"/>
      <c r="T242" s="3"/>
      <c r="U242" s="3"/>
      <c r="V242" s="3"/>
      <c r="W242" s="3"/>
      <c r="X242" s="3"/>
      <c r="Y242" s="3"/>
    </row>
    <row r="243" spans="1:25" ht="28.8">
      <c r="A243" s="221">
        <v>234</v>
      </c>
      <c r="B243" s="32" t="s">
        <v>653</v>
      </c>
      <c r="C243" s="234">
        <v>43665</v>
      </c>
      <c r="D243" s="231" t="s">
        <v>654</v>
      </c>
      <c r="E243" s="221" t="s">
        <v>655</v>
      </c>
      <c r="F243" s="200"/>
      <c r="G243" s="3"/>
      <c r="H243" s="3"/>
      <c r="I243" s="3"/>
      <c r="J243" s="3"/>
      <c r="K243" s="3"/>
      <c r="L243" s="3"/>
      <c r="M243" s="3"/>
      <c r="N243" s="3"/>
      <c r="O243" s="3"/>
      <c r="P243" s="3"/>
      <c r="Q243" s="3"/>
      <c r="R243" s="3"/>
      <c r="S243" s="3"/>
      <c r="T243" s="3"/>
      <c r="U243" s="3"/>
      <c r="V243" s="3"/>
      <c r="W243" s="3"/>
      <c r="X243" s="3"/>
      <c r="Y243" s="3"/>
    </row>
    <row r="244" spans="1:25" ht="100.8">
      <c r="A244" s="221">
        <v>235</v>
      </c>
      <c r="B244" s="32" t="s">
        <v>656</v>
      </c>
      <c r="C244" s="234">
        <v>43703</v>
      </c>
      <c r="D244" s="221" t="s">
        <v>657</v>
      </c>
      <c r="E244" s="221" t="s">
        <v>658</v>
      </c>
      <c r="F244" s="200"/>
      <c r="G244" s="3"/>
      <c r="H244" s="3"/>
      <c r="I244" s="3"/>
      <c r="J244" s="3"/>
      <c r="K244" s="3"/>
      <c r="L244" s="3"/>
      <c r="M244" s="3"/>
      <c r="N244" s="3"/>
      <c r="O244" s="3"/>
      <c r="P244" s="3"/>
      <c r="Q244" s="3"/>
      <c r="R244" s="3"/>
      <c r="S244" s="3"/>
      <c r="T244" s="3"/>
      <c r="U244" s="3"/>
      <c r="V244" s="3"/>
      <c r="W244" s="3"/>
      <c r="X244" s="3"/>
      <c r="Y244" s="3"/>
    </row>
    <row r="245" spans="1:25" ht="115.2">
      <c r="A245" s="221">
        <v>236</v>
      </c>
      <c r="B245" s="32" t="s">
        <v>659</v>
      </c>
      <c r="C245" s="234">
        <v>43703</v>
      </c>
      <c r="D245" s="221" t="s">
        <v>660</v>
      </c>
      <c r="E245" s="221" t="s">
        <v>661</v>
      </c>
      <c r="F245" s="200"/>
      <c r="G245" s="3"/>
      <c r="H245" s="3"/>
      <c r="I245" s="3"/>
      <c r="J245" s="3"/>
      <c r="K245" s="3"/>
      <c r="L245" s="3"/>
      <c r="M245" s="3"/>
      <c r="N245" s="3"/>
      <c r="O245" s="3"/>
      <c r="P245" s="3"/>
      <c r="Q245" s="3"/>
      <c r="R245" s="3"/>
      <c r="S245" s="3"/>
      <c r="T245" s="3"/>
      <c r="U245" s="3"/>
      <c r="V245" s="3"/>
      <c r="W245" s="3"/>
      <c r="X245" s="3"/>
      <c r="Y245" s="3"/>
    </row>
    <row r="246" spans="1:25" ht="86.4">
      <c r="A246" s="221">
        <v>237</v>
      </c>
      <c r="B246" s="32" t="s">
        <v>662</v>
      </c>
      <c r="C246" s="234">
        <v>43703</v>
      </c>
      <c r="D246" s="221" t="s">
        <v>663</v>
      </c>
      <c r="E246" s="221" t="s">
        <v>664</v>
      </c>
      <c r="F246" s="200"/>
      <c r="G246" s="3"/>
      <c r="H246" s="3"/>
      <c r="I246" s="3"/>
      <c r="J246" s="3"/>
      <c r="K246" s="3"/>
      <c r="L246" s="3"/>
      <c r="M246" s="3"/>
      <c r="N246" s="3"/>
      <c r="O246" s="3"/>
      <c r="P246" s="3"/>
      <c r="Q246" s="3"/>
      <c r="R246" s="3"/>
      <c r="S246" s="3"/>
      <c r="T246" s="3"/>
      <c r="U246" s="3"/>
      <c r="V246" s="3"/>
      <c r="W246" s="3"/>
      <c r="X246" s="3"/>
      <c r="Y246" s="3"/>
    </row>
    <row r="247" spans="1:25" ht="72">
      <c r="A247" s="221">
        <v>238</v>
      </c>
      <c r="B247" s="32" t="s">
        <v>665</v>
      </c>
      <c r="C247" s="234">
        <v>43703</v>
      </c>
      <c r="D247" s="221" t="s">
        <v>666</v>
      </c>
      <c r="E247" s="221" t="s">
        <v>269</v>
      </c>
      <c r="F247" s="200"/>
      <c r="G247" s="3"/>
      <c r="H247" s="3"/>
      <c r="I247" s="3"/>
      <c r="J247" s="3"/>
      <c r="K247" s="3"/>
      <c r="L247" s="3"/>
      <c r="M247" s="3"/>
      <c r="N247" s="3"/>
      <c r="O247" s="3"/>
      <c r="P247" s="3"/>
      <c r="Q247" s="3"/>
      <c r="R247" s="3"/>
      <c r="S247" s="3"/>
      <c r="T247" s="3"/>
      <c r="U247" s="3"/>
      <c r="V247" s="3"/>
      <c r="W247" s="3"/>
      <c r="X247" s="3"/>
      <c r="Y247" s="3"/>
    </row>
    <row r="248" spans="1:25" ht="86.4">
      <c r="A248" s="221">
        <v>239</v>
      </c>
      <c r="B248" s="32" t="s">
        <v>667</v>
      </c>
      <c r="C248" s="234">
        <v>43703</v>
      </c>
      <c r="D248" s="221" t="s">
        <v>668</v>
      </c>
      <c r="E248" s="221" t="s">
        <v>269</v>
      </c>
      <c r="F248" s="200"/>
      <c r="G248" s="3"/>
      <c r="H248" s="3"/>
      <c r="I248" s="3"/>
      <c r="J248" s="3"/>
      <c r="K248" s="3"/>
      <c r="L248" s="3"/>
      <c r="M248" s="3"/>
      <c r="N248" s="3"/>
      <c r="O248" s="3"/>
      <c r="P248" s="3"/>
      <c r="Q248" s="3"/>
      <c r="R248" s="3"/>
      <c r="S248" s="3"/>
      <c r="T248" s="3"/>
      <c r="U248" s="3"/>
      <c r="V248" s="3"/>
      <c r="W248" s="3"/>
      <c r="X248" s="3"/>
      <c r="Y248" s="3"/>
    </row>
    <row r="249" spans="1:25" ht="43.2">
      <c r="A249" s="221">
        <v>240</v>
      </c>
      <c r="B249" s="32" t="s">
        <v>669</v>
      </c>
      <c r="C249" s="234">
        <v>43726</v>
      </c>
      <c r="D249" s="221" t="s">
        <v>670</v>
      </c>
      <c r="E249" s="221" t="s">
        <v>671</v>
      </c>
      <c r="F249" s="200"/>
      <c r="G249" s="3"/>
      <c r="H249" s="3"/>
      <c r="I249" s="3"/>
      <c r="J249" s="3"/>
      <c r="K249" s="3"/>
      <c r="L249" s="3"/>
      <c r="M249" s="3"/>
      <c r="N249" s="3"/>
      <c r="O249" s="3"/>
      <c r="P249" s="3"/>
      <c r="Q249" s="3"/>
      <c r="R249" s="3"/>
      <c r="S249" s="3"/>
      <c r="T249" s="3"/>
      <c r="U249" s="3"/>
      <c r="V249" s="3"/>
      <c r="W249" s="3"/>
      <c r="X249" s="3"/>
      <c r="Y249" s="3"/>
    </row>
    <row r="250" spans="1:25" ht="43.2">
      <c r="A250" s="221">
        <v>241</v>
      </c>
      <c r="B250" s="207" t="s">
        <v>672</v>
      </c>
      <c r="C250" s="234">
        <v>43760</v>
      </c>
      <c r="D250" s="221" t="s">
        <v>673</v>
      </c>
      <c r="E250" s="221" t="s">
        <v>674</v>
      </c>
      <c r="F250" s="200"/>
      <c r="G250" s="3"/>
      <c r="H250" s="3"/>
      <c r="I250" s="3"/>
      <c r="J250" s="3"/>
      <c r="K250" s="3"/>
      <c r="L250" s="3"/>
      <c r="M250" s="3"/>
      <c r="N250" s="3"/>
      <c r="O250" s="3"/>
      <c r="P250" s="3"/>
      <c r="Q250" s="3"/>
      <c r="R250" s="3"/>
      <c r="S250" s="3"/>
      <c r="T250" s="3"/>
      <c r="U250" s="3"/>
      <c r="V250" s="3"/>
      <c r="W250" s="3"/>
      <c r="X250" s="3"/>
      <c r="Y250" s="3"/>
    </row>
    <row r="251" spans="1:25" ht="43.2">
      <c r="A251" s="221">
        <v>242</v>
      </c>
      <c r="B251" s="32" t="s">
        <v>675</v>
      </c>
      <c r="C251" s="234">
        <v>43760</v>
      </c>
      <c r="D251" s="221" t="s">
        <v>676</v>
      </c>
      <c r="E251" s="221" t="s">
        <v>677</v>
      </c>
      <c r="F251" s="200"/>
      <c r="G251" s="3"/>
      <c r="H251" s="3"/>
      <c r="I251" s="3"/>
      <c r="J251" s="3"/>
      <c r="K251" s="3"/>
      <c r="L251" s="3"/>
      <c r="M251" s="3"/>
      <c r="N251" s="3"/>
      <c r="O251" s="3"/>
      <c r="P251" s="3"/>
      <c r="Q251" s="3"/>
      <c r="R251" s="3"/>
      <c r="S251" s="3"/>
      <c r="T251" s="3"/>
      <c r="U251" s="3"/>
      <c r="V251" s="3"/>
      <c r="W251" s="3"/>
      <c r="X251" s="3"/>
      <c r="Y251" s="3"/>
    </row>
    <row r="252" spans="1:25" ht="43.2">
      <c r="A252" s="221">
        <v>243</v>
      </c>
      <c r="B252" s="32" t="s">
        <v>678</v>
      </c>
      <c r="C252" s="234">
        <v>43773</v>
      </c>
      <c r="D252" s="221" t="s">
        <v>679</v>
      </c>
      <c r="E252" s="221" t="s">
        <v>680</v>
      </c>
      <c r="F252" s="200"/>
      <c r="G252" s="3"/>
      <c r="H252" s="3"/>
      <c r="I252" s="3"/>
      <c r="J252" s="3"/>
      <c r="K252" s="3"/>
      <c r="L252" s="3"/>
      <c r="M252" s="3"/>
      <c r="N252" s="3"/>
      <c r="O252" s="3"/>
      <c r="P252" s="3"/>
      <c r="Q252" s="3"/>
      <c r="R252" s="3"/>
      <c r="S252" s="3"/>
      <c r="T252" s="3"/>
      <c r="U252" s="3"/>
      <c r="V252" s="3"/>
      <c r="W252" s="3"/>
      <c r="X252" s="3"/>
      <c r="Y252" s="3"/>
    </row>
    <row r="253" spans="1:25" ht="43.2">
      <c r="A253" s="221">
        <v>244</v>
      </c>
      <c r="B253" s="32" t="s">
        <v>681</v>
      </c>
      <c r="C253" s="234">
        <v>43858</v>
      </c>
      <c r="D253" s="221" t="s">
        <v>682</v>
      </c>
      <c r="E253" s="221" t="s">
        <v>4895</v>
      </c>
      <c r="F253" s="200"/>
      <c r="G253" s="3"/>
      <c r="H253" s="3"/>
      <c r="I253" s="3"/>
      <c r="J253" s="3"/>
      <c r="K253" s="3"/>
      <c r="L253" s="3"/>
      <c r="M253" s="3"/>
      <c r="N253" s="3"/>
      <c r="O253" s="3"/>
      <c r="P253" s="3"/>
      <c r="Q253" s="3"/>
      <c r="R253" s="3"/>
      <c r="S253" s="3"/>
      <c r="T253" s="3"/>
      <c r="U253" s="3"/>
      <c r="V253" s="3"/>
      <c r="W253" s="3"/>
      <c r="X253" s="3"/>
      <c r="Y253" s="3"/>
    </row>
    <row r="254" spans="1:25" ht="28.8">
      <c r="A254" s="221">
        <v>245</v>
      </c>
      <c r="B254" s="32" t="s">
        <v>683</v>
      </c>
      <c r="C254" s="234">
        <v>43929</v>
      </c>
      <c r="D254" s="221" t="s">
        <v>684</v>
      </c>
      <c r="E254" s="221"/>
      <c r="F254" s="200"/>
      <c r="G254" s="3"/>
      <c r="H254" s="3"/>
      <c r="I254" s="3"/>
      <c r="J254" s="3"/>
      <c r="K254" s="3"/>
      <c r="L254" s="3"/>
      <c r="M254" s="3"/>
      <c r="N254" s="3"/>
      <c r="O254" s="3"/>
      <c r="P254" s="3"/>
      <c r="Q254" s="3"/>
      <c r="R254" s="3"/>
      <c r="S254" s="3"/>
      <c r="T254" s="3"/>
      <c r="U254" s="3"/>
      <c r="V254" s="3"/>
      <c r="W254" s="3"/>
      <c r="X254" s="3"/>
      <c r="Y254" s="3"/>
    </row>
    <row r="255" spans="1:25" ht="43.2">
      <c r="A255" s="221">
        <v>246</v>
      </c>
      <c r="B255" s="32" t="s">
        <v>685</v>
      </c>
      <c r="C255" s="234">
        <v>43950</v>
      </c>
      <c r="D255" s="221" t="s">
        <v>686</v>
      </c>
      <c r="E255" s="221" t="s">
        <v>687</v>
      </c>
      <c r="F255" s="200"/>
      <c r="G255" s="3"/>
      <c r="H255" s="3"/>
      <c r="I255" s="3"/>
      <c r="J255" s="3"/>
      <c r="K255" s="3"/>
      <c r="L255" s="3"/>
      <c r="M255" s="3"/>
      <c r="N255" s="3"/>
      <c r="O255" s="3"/>
      <c r="P255" s="3"/>
      <c r="Q255" s="3"/>
      <c r="R255" s="3"/>
      <c r="S255" s="3"/>
      <c r="T255" s="3"/>
      <c r="U255" s="3"/>
      <c r="V255" s="3"/>
      <c r="W255" s="3"/>
      <c r="X255" s="3"/>
      <c r="Y255" s="3"/>
    </row>
    <row r="256" spans="1:25" ht="43.2">
      <c r="A256" s="221">
        <v>247</v>
      </c>
      <c r="B256" s="32" t="s">
        <v>688</v>
      </c>
      <c r="C256" s="234">
        <v>43957</v>
      </c>
      <c r="D256" s="221" t="s">
        <v>689</v>
      </c>
      <c r="E256" s="221" t="s">
        <v>690</v>
      </c>
      <c r="F256" s="200"/>
      <c r="G256" s="3"/>
      <c r="H256" s="3"/>
      <c r="I256" s="3"/>
      <c r="J256" s="3"/>
      <c r="K256" s="3"/>
      <c r="L256" s="3"/>
      <c r="M256" s="3"/>
      <c r="N256" s="3"/>
      <c r="O256" s="3"/>
      <c r="P256" s="3"/>
      <c r="Q256" s="3"/>
      <c r="R256" s="3"/>
      <c r="S256" s="3"/>
      <c r="T256" s="3"/>
      <c r="U256" s="3"/>
      <c r="V256" s="3"/>
      <c r="W256" s="3"/>
      <c r="X256" s="3"/>
      <c r="Y256" s="3"/>
    </row>
    <row r="257" spans="1:25" ht="57.6">
      <c r="A257" s="221">
        <v>248</v>
      </c>
      <c r="B257" s="32" t="s">
        <v>691</v>
      </c>
      <c r="C257" s="234">
        <v>43957</v>
      </c>
      <c r="D257" s="221" t="s">
        <v>692</v>
      </c>
      <c r="E257" s="221" t="s">
        <v>687</v>
      </c>
      <c r="F257" s="200"/>
      <c r="G257" s="3"/>
      <c r="H257" s="3"/>
      <c r="I257" s="3"/>
      <c r="J257" s="3"/>
      <c r="K257" s="3"/>
      <c r="L257" s="3"/>
      <c r="M257" s="3"/>
      <c r="N257" s="3"/>
      <c r="O257" s="3"/>
      <c r="P257" s="3"/>
      <c r="Q257" s="3"/>
      <c r="R257" s="3"/>
      <c r="S257" s="3"/>
      <c r="T257" s="3"/>
      <c r="U257" s="3"/>
      <c r="V257" s="3"/>
      <c r="W257" s="3"/>
      <c r="X257" s="3"/>
      <c r="Y257" s="3"/>
    </row>
    <row r="258" spans="1:25" ht="28.8">
      <c r="A258" s="221">
        <v>249</v>
      </c>
      <c r="B258" s="32" t="s">
        <v>693</v>
      </c>
      <c r="C258" s="234">
        <v>43957</v>
      </c>
      <c r="D258" s="221" t="s">
        <v>694</v>
      </c>
      <c r="E258" s="221" t="s">
        <v>695</v>
      </c>
      <c r="F258" s="200"/>
      <c r="G258" s="3"/>
      <c r="H258" s="3"/>
      <c r="I258" s="3"/>
      <c r="J258" s="3"/>
      <c r="K258" s="3"/>
      <c r="L258" s="3"/>
      <c r="M258" s="3"/>
      <c r="N258" s="3"/>
      <c r="O258" s="3"/>
      <c r="P258" s="3"/>
      <c r="Q258" s="3"/>
      <c r="R258" s="3"/>
      <c r="S258" s="3"/>
      <c r="T258" s="3"/>
      <c r="U258" s="3"/>
      <c r="V258" s="3"/>
      <c r="W258" s="3"/>
      <c r="X258" s="3"/>
      <c r="Y258" s="3"/>
    </row>
    <row r="259" spans="1:25" ht="57.6">
      <c r="A259" s="221">
        <v>250</v>
      </c>
      <c r="B259" s="32" t="s">
        <v>696</v>
      </c>
      <c r="C259" s="234">
        <v>43966</v>
      </c>
      <c r="D259" s="221" t="s">
        <v>697</v>
      </c>
      <c r="E259" s="221" t="s">
        <v>690</v>
      </c>
      <c r="F259" s="200"/>
      <c r="G259" s="3"/>
      <c r="H259" s="3"/>
      <c r="I259" s="3"/>
      <c r="J259" s="3"/>
      <c r="K259" s="3"/>
      <c r="L259" s="3"/>
      <c r="M259" s="3"/>
      <c r="N259" s="3"/>
      <c r="O259" s="3"/>
      <c r="P259" s="3"/>
      <c r="Q259" s="3"/>
      <c r="R259" s="3"/>
      <c r="S259" s="3"/>
      <c r="T259" s="3"/>
      <c r="U259" s="3"/>
      <c r="V259" s="3"/>
      <c r="W259" s="3"/>
      <c r="X259" s="3"/>
      <c r="Y259" s="3"/>
    </row>
    <row r="260" spans="1:25" ht="57.6">
      <c r="A260" s="221">
        <v>251</v>
      </c>
      <c r="B260" s="32" t="s">
        <v>698</v>
      </c>
      <c r="C260" s="234">
        <v>43927</v>
      </c>
      <c r="D260" s="221" t="s">
        <v>699</v>
      </c>
      <c r="E260" s="221" t="s">
        <v>4894</v>
      </c>
      <c r="F260" s="200"/>
      <c r="G260" s="3"/>
      <c r="H260" s="3"/>
      <c r="I260" s="3"/>
      <c r="J260" s="3"/>
      <c r="K260" s="3"/>
      <c r="L260" s="3"/>
      <c r="M260" s="3"/>
      <c r="N260" s="3"/>
      <c r="O260" s="3"/>
      <c r="P260" s="3"/>
      <c r="Q260" s="3"/>
      <c r="R260" s="3"/>
      <c r="S260" s="3"/>
      <c r="T260" s="3"/>
      <c r="U260" s="3"/>
      <c r="V260" s="3"/>
      <c r="W260" s="3"/>
      <c r="X260" s="3"/>
      <c r="Y260" s="3"/>
    </row>
    <row r="261" spans="1:25" ht="43.2" hidden="1">
      <c r="A261" s="199">
        <v>252</v>
      </c>
      <c r="B261" s="32" t="s">
        <v>700</v>
      </c>
      <c r="C261" s="208">
        <v>44141</v>
      </c>
      <c r="D261" s="200" t="s">
        <v>701</v>
      </c>
      <c r="E261" s="200" t="s">
        <v>702</v>
      </c>
      <c r="F261" s="200"/>
      <c r="G261" s="3"/>
      <c r="H261" s="3"/>
      <c r="I261" s="3"/>
      <c r="J261" s="3"/>
      <c r="K261" s="3"/>
      <c r="L261" s="3"/>
      <c r="M261" s="3"/>
      <c r="N261" s="3"/>
      <c r="O261" s="3"/>
      <c r="P261" s="3"/>
      <c r="Q261" s="3"/>
      <c r="R261" s="3"/>
      <c r="S261" s="3"/>
      <c r="T261" s="3"/>
      <c r="U261" s="3"/>
      <c r="V261" s="3"/>
      <c r="W261" s="3"/>
      <c r="X261" s="3"/>
      <c r="Y261" s="3"/>
    </row>
    <row r="262" spans="1:25" ht="57.6">
      <c r="A262" s="221">
        <v>253</v>
      </c>
      <c r="B262" s="32" t="s">
        <v>703</v>
      </c>
      <c r="C262" s="234">
        <f>DATE(2020,6, 16)</f>
        <v>43998</v>
      </c>
      <c r="D262" s="221" t="s">
        <v>704</v>
      </c>
      <c r="E262" s="221" t="s">
        <v>705</v>
      </c>
      <c r="F262" s="200"/>
      <c r="G262" s="3"/>
      <c r="H262" s="3"/>
      <c r="I262" s="3"/>
      <c r="J262" s="3"/>
      <c r="K262" s="3"/>
      <c r="L262" s="3"/>
      <c r="M262" s="3"/>
      <c r="N262" s="3"/>
      <c r="O262" s="3"/>
      <c r="P262" s="3"/>
      <c r="Q262" s="3"/>
      <c r="R262" s="3"/>
      <c r="S262" s="3"/>
      <c r="T262" s="3"/>
      <c r="U262" s="3"/>
      <c r="V262" s="3"/>
      <c r="W262" s="3"/>
      <c r="X262" s="3"/>
      <c r="Y262" s="3"/>
    </row>
    <row r="263" spans="1:25" ht="57.6">
      <c r="A263" s="282">
        <v>254</v>
      </c>
      <c r="B263" s="210" t="s">
        <v>706</v>
      </c>
      <c r="C263" s="234">
        <f>DATE(2020,6, 22)</f>
        <v>44004</v>
      </c>
      <c r="D263" s="221" t="s">
        <v>707</v>
      </c>
      <c r="E263" s="221" t="s">
        <v>705</v>
      </c>
      <c r="F263" s="200"/>
      <c r="G263" s="3"/>
      <c r="H263" s="3"/>
      <c r="I263" s="3"/>
      <c r="J263" s="3"/>
      <c r="K263" s="3"/>
      <c r="L263" s="3"/>
      <c r="M263" s="3"/>
      <c r="N263" s="3"/>
      <c r="O263" s="3"/>
      <c r="P263" s="3"/>
      <c r="Q263" s="3"/>
      <c r="R263" s="3"/>
      <c r="S263" s="3"/>
      <c r="T263" s="3"/>
      <c r="U263" s="3"/>
      <c r="V263" s="3"/>
      <c r="W263" s="3"/>
      <c r="X263" s="3"/>
      <c r="Y263" s="3"/>
    </row>
    <row r="264" spans="1:25" ht="57.6" hidden="1">
      <c r="A264" s="211">
        <v>255</v>
      </c>
      <c r="B264" s="212" t="s">
        <v>708</v>
      </c>
      <c r="C264" s="213">
        <v>43985</v>
      </c>
      <c r="D264" s="203" t="s">
        <v>709</v>
      </c>
      <c r="E264" s="214" t="s">
        <v>710</v>
      </c>
      <c r="F264" s="200"/>
      <c r="G264" s="3"/>
      <c r="H264" s="3"/>
      <c r="I264" s="3"/>
      <c r="J264" s="3"/>
      <c r="K264" s="3"/>
      <c r="L264" s="3"/>
      <c r="M264" s="3"/>
      <c r="N264" s="3"/>
      <c r="O264" s="3"/>
      <c r="P264" s="3"/>
      <c r="Q264" s="3"/>
      <c r="R264" s="3"/>
      <c r="S264" s="3"/>
      <c r="T264" s="3"/>
      <c r="U264" s="3"/>
      <c r="V264" s="3"/>
      <c r="W264" s="3"/>
      <c r="X264" s="3"/>
      <c r="Y264" s="3"/>
    </row>
    <row r="265" spans="1:25" ht="57.6" hidden="1">
      <c r="A265" s="211">
        <v>256</v>
      </c>
      <c r="B265" s="215" t="s">
        <v>711</v>
      </c>
      <c r="C265" s="208">
        <v>43994</v>
      </c>
      <c r="D265" s="206" t="s">
        <v>712</v>
      </c>
      <c r="E265" s="214" t="s">
        <v>713</v>
      </c>
      <c r="F265" s="200"/>
      <c r="G265" s="3"/>
      <c r="H265" s="3"/>
      <c r="I265" s="3"/>
      <c r="J265" s="3"/>
      <c r="K265" s="3"/>
      <c r="L265" s="3"/>
      <c r="M265" s="3"/>
      <c r="N265" s="3"/>
      <c r="O265" s="3"/>
      <c r="P265" s="3"/>
      <c r="Q265" s="3"/>
      <c r="R265" s="3"/>
      <c r="S265" s="3"/>
      <c r="T265" s="3"/>
      <c r="U265" s="3"/>
      <c r="V265" s="3"/>
      <c r="W265" s="3"/>
      <c r="X265" s="3"/>
      <c r="Y265" s="3"/>
    </row>
    <row r="266" spans="1:25" ht="57.6" hidden="1">
      <c r="A266" s="211">
        <v>257</v>
      </c>
      <c r="B266" s="212" t="s">
        <v>714</v>
      </c>
      <c r="C266" s="208">
        <v>44001</v>
      </c>
      <c r="D266" s="206" t="s">
        <v>715</v>
      </c>
      <c r="E266" s="214" t="s">
        <v>716</v>
      </c>
      <c r="F266" s="200"/>
      <c r="G266" s="3"/>
      <c r="H266" s="3"/>
      <c r="I266" s="3"/>
      <c r="J266" s="3"/>
      <c r="K266" s="3"/>
      <c r="L266" s="3"/>
      <c r="M266" s="3"/>
      <c r="N266" s="3"/>
      <c r="O266" s="3"/>
      <c r="P266" s="3"/>
      <c r="Q266" s="3"/>
      <c r="R266" s="3"/>
      <c r="S266" s="3"/>
      <c r="T266" s="3"/>
      <c r="U266" s="3"/>
      <c r="V266" s="3"/>
      <c r="W266" s="3"/>
      <c r="X266" s="3"/>
      <c r="Y266" s="3"/>
    </row>
    <row r="267" spans="1:25" ht="57.6" hidden="1">
      <c r="A267" s="211">
        <v>258</v>
      </c>
      <c r="B267" s="212" t="s">
        <v>717</v>
      </c>
      <c r="C267" s="208">
        <v>44021</v>
      </c>
      <c r="D267" s="206" t="s">
        <v>718</v>
      </c>
      <c r="E267" s="214" t="s">
        <v>719</v>
      </c>
      <c r="F267" s="200"/>
      <c r="G267" s="3"/>
      <c r="H267" s="3"/>
      <c r="I267" s="3"/>
      <c r="J267" s="3"/>
      <c r="K267" s="3"/>
      <c r="L267" s="3"/>
      <c r="M267" s="3"/>
      <c r="N267" s="3"/>
      <c r="O267" s="3"/>
      <c r="P267" s="3"/>
      <c r="Q267" s="3"/>
      <c r="R267" s="3"/>
      <c r="S267" s="3"/>
      <c r="T267" s="3"/>
      <c r="U267" s="3"/>
      <c r="V267" s="3"/>
      <c r="W267" s="3"/>
      <c r="X267" s="3"/>
      <c r="Y267" s="3"/>
    </row>
    <row r="268" spans="1:25" ht="57.6" hidden="1">
      <c r="A268" s="211">
        <v>259</v>
      </c>
      <c r="B268" s="215" t="s">
        <v>720</v>
      </c>
      <c r="C268" s="208">
        <v>44025</v>
      </c>
      <c r="D268" s="200" t="s">
        <v>721</v>
      </c>
      <c r="E268" s="200" t="s">
        <v>722</v>
      </c>
      <c r="F268" s="200"/>
      <c r="G268" s="3"/>
      <c r="H268" s="3"/>
      <c r="I268" s="3"/>
      <c r="J268" s="3"/>
      <c r="K268" s="3"/>
      <c r="L268" s="3"/>
      <c r="M268" s="3"/>
      <c r="N268" s="3"/>
      <c r="O268" s="3"/>
      <c r="P268" s="3"/>
      <c r="Q268" s="3"/>
      <c r="R268" s="3"/>
      <c r="S268" s="3"/>
      <c r="T268" s="3"/>
      <c r="U268" s="3"/>
      <c r="V268" s="3"/>
      <c r="W268" s="3"/>
      <c r="X268" s="3"/>
      <c r="Y268" s="3"/>
    </row>
    <row r="269" spans="1:25" ht="72" hidden="1">
      <c r="A269" s="211">
        <v>260</v>
      </c>
      <c r="B269" s="212" t="s">
        <v>723</v>
      </c>
      <c r="C269" s="216">
        <v>44025</v>
      </c>
      <c r="D269" s="217" t="s">
        <v>724</v>
      </c>
      <c r="E269" s="217" t="s">
        <v>21</v>
      </c>
      <c r="F269" s="218"/>
      <c r="G269" s="4"/>
      <c r="H269" s="3"/>
      <c r="I269" s="3"/>
      <c r="J269" s="3"/>
      <c r="K269" s="3"/>
      <c r="L269" s="3"/>
      <c r="M269" s="3"/>
      <c r="N269" s="3"/>
      <c r="O269" s="3"/>
      <c r="P269" s="3"/>
      <c r="Q269" s="3"/>
      <c r="R269" s="3"/>
      <c r="S269" s="3"/>
      <c r="T269" s="3"/>
      <c r="U269" s="3"/>
      <c r="V269" s="3"/>
      <c r="W269" s="3"/>
      <c r="X269" s="3"/>
      <c r="Y269" s="3"/>
    </row>
    <row r="270" spans="1:25" ht="57.6" hidden="1">
      <c r="A270" s="211">
        <v>261</v>
      </c>
      <c r="B270" s="212" t="s">
        <v>725</v>
      </c>
      <c r="C270" s="216">
        <v>44026</v>
      </c>
      <c r="D270" s="217" t="s">
        <v>726</v>
      </c>
      <c r="E270" s="217" t="s">
        <v>21</v>
      </c>
      <c r="F270" s="218"/>
      <c r="G270" s="4"/>
      <c r="H270" s="4"/>
      <c r="I270" s="3"/>
      <c r="J270" s="3"/>
      <c r="K270" s="3"/>
      <c r="L270" s="3"/>
      <c r="M270" s="3"/>
      <c r="N270" s="3"/>
      <c r="O270" s="3"/>
      <c r="P270" s="3"/>
      <c r="Q270" s="3"/>
      <c r="R270" s="3"/>
      <c r="S270" s="3"/>
      <c r="T270" s="3"/>
      <c r="U270" s="3"/>
      <c r="V270" s="3"/>
      <c r="W270" s="3"/>
      <c r="X270" s="3"/>
      <c r="Y270" s="3"/>
    </row>
    <row r="271" spans="1:25" ht="43.2" hidden="1">
      <c r="A271" s="211">
        <v>262</v>
      </c>
      <c r="B271" s="212" t="s">
        <v>727</v>
      </c>
      <c r="C271" s="208">
        <v>44027</v>
      </c>
      <c r="D271" s="200" t="s">
        <v>728</v>
      </c>
      <c r="E271" s="200" t="s">
        <v>729</v>
      </c>
      <c r="F271" s="200"/>
      <c r="G271" s="3"/>
      <c r="H271" s="3"/>
      <c r="I271" s="3"/>
      <c r="J271" s="3"/>
      <c r="K271" s="3"/>
      <c r="L271" s="3"/>
      <c r="M271" s="3"/>
      <c r="N271" s="3"/>
      <c r="O271" s="3"/>
      <c r="P271" s="3"/>
      <c r="Q271" s="3"/>
      <c r="R271" s="3"/>
      <c r="S271" s="3"/>
      <c r="T271" s="3"/>
      <c r="U271" s="3"/>
      <c r="V271" s="3"/>
      <c r="W271" s="3"/>
      <c r="X271" s="3"/>
      <c r="Y271" s="3"/>
    </row>
    <row r="272" spans="1:25" ht="43.2">
      <c r="A272" s="283">
        <v>263</v>
      </c>
      <c r="B272" s="212" t="s">
        <v>730</v>
      </c>
      <c r="C272" s="234">
        <v>44033</v>
      </c>
      <c r="D272" s="282" t="s">
        <v>731</v>
      </c>
      <c r="E272" s="221" t="s">
        <v>732</v>
      </c>
      <c r="F272" s="200"/>
      <c r="G272" s="3"/>
      <c r="H272" s="3"/>
      <c r="I272" s="3"/>
      <c r="J272" s="3"/>
      <c r="K272" s="3"/>
      <c r="L272" s="3"/>
      <c r="M272" s="3"/>
      <c r="N272" s="3"/>
      <c r="O272" s="3"/>
      <c r="P272" s="3"/>
      <c r="Q272" s="3"/>
      <c r="R272" s="3"/>
      <c r="S272" s="3"/>
      <c r="T272" s="3"/>
      <c r="U272" s="3"/>
      <c r="V272" s="3"/>
      <c r="W272" s="3"/>
      <c r="X272" s="3"/>
      <c r="Y272" s="3"/>
    </row>
    <row r="273" spans="1:25" ht="57.6">
      <c r="A273" s="283">
        <v>264</v>
      </c>
      <c r="B273" s="215" t="s">
        <v>733</v>
      </c>
      <c r="C273" s="284">
        <v>44035</v>
      </c>
      <c r="D273" s="280" t="s">
        <v>734</v>
      </c>
      <c r="E273" s="222" t="s">
        <v>21</v>
      </c>
      <c r="F273" s="221"/>
      <c r="G273" s="113"/>
      <c r="H273" s="113"/>
      <c r="I273" s="113"/>
      <c r="J273" s="113"/>
      <c r="K273" s="113"/>
      <c r="L273" s="113"/>
      <c r="M273" s="113"/>
      <c r="N273" s="113"/>
      <c r="O273" s="113"/>
      <c r="P273" s="113"/>
      <c r="Q273" s="113"/>
      <c r="R273" s="113"/>
      <c r="S273" s="113"/>
      <c r="T273" s="113"/>
      <c r="U273" s="113"/>
      <c r="V273" s="113"/>
      <c r="W273" s="113"/>
      <c r="X273" s="113"/>
      <c r="Y273" s="113"/>
    </row>
    <row r="274" spans="1:25" ht="57.6">
      <c r="A274" s="283">
        <v>265</v>
      </c>
      <c r="B274" s="215" t="s">
        <v>735</v>
      </c>
      <c r="C274" s="284">
        <v>44035</v>
      </c>
      <c r="D274" s="280" t="s">
        <v>736</v>
      </c>
      <c r="E274" s="222" t="s">
        <v>21</v>
      </c>
      <c r="F274" s="221"/>
      <c r="G274" s="113"/>
      <c r="H274" s="113"/>
      <c r="I274" s="113"/>
      <c r="J274" s="113"/>
      <c r="K274" s="113"/>
      <c r="L274" s="113"/>
      <c r="M274" s="113"/>
      <c r="N274" s="113"/>
      <c r="O274" s="113"/>
      <c r="P274" s="113"/>
      <c r="Q274" s="113"/>
      <c r="R274" s="113"/>
      <c r="S274" s="113"/>
      <c r="T274" s="113"/>
      <c r="U274" s="113"/>
      <c r="V274" s="113"/>
      <c r="W274" s="113"/>
      <c r="X274" s="113"/>
      <c r="Y274" s="113"/>
    </row>
    <row r="275" spans="1:25" ht="72">
      <c r="A275" s="283">
        <v>266</v>
      </c>
      <c r="B275" s="215" t="s">
        <v>737</v>
      </c>
      <c r="C275" s="234">
        <v>44035</v>
      </c>
      <c r="D275" s="281" t="s">
        <v>738</v>
      </c>
      <c r="E275" s="221" t="s">
        <v>21</v>
      </c>
      <c r="F275" s="221"/>
      <c r="G275" s="113"/>
      <c r="H275" s="113"/>
      <c r="I275" s="113"/>
      <c r="J275" s="113"/>
      <c r="K275" s="113"/>
      <c r="L275" s="113"/>
      <c r="M275" s="113"/>
      <c r="N275" s="113"/>
      <c r="O275" s="113"/>
      <c r="P275" s="113"/>
      <c r="Q275" s="113"/>
      <c r="R275" s="113"/>
      <c r="S275" s="113"/>
      <c r="T275" s="113"/>
      <c r="U275" s="113"/>
      <c r="V275" s="113"/>
      <c r="W275" s="113"/>
      <c r="X275" s="113"/>
      <c r="Y275" s="113"/>
    </row>
    <row r="276" spans="1:25" ht="57.6">
      <c r="A276" s="283">
        <v>267</v>
      </c>
      <c r="B276" s="215" t="s">
        <v>739</v>
      </c>
      <c r="C276" s="234">
        <v>44036</v>
      </c>
      <c r="D276" s="221" t="s">
        <v>740</v>
      </c>
      <c r="E276" s="221" t="s">
        <v>21</v>
      </c>
      <c r="F276" s="221"/>
      <c r="G276" s="113"/>
      <c r="H276" s="113"/>
      <c r="I276" s="113"/>
      <c r="J276" s="113"/>
      <c r="K276" s="113"/>
      <c r="L276" s="113"/>
      <c r="M276" s="113"/>
      <c r="N276" s="113"/>
      <c r="O276" s="113"/>
      <c r="P276" s="113"/>
      <c r="Q276" s="113"/>
      <c r="R276" s="113"/>
      <c r="S276" s="113"/>
      <c r="T276" s="113"/>
      <c r="U276" s="113"/>
      <c r="V276" s="113"/>
      <c r="W276" s="113"/>
      <c r="X276" s="113"/>
      <c r="Y276" s="113"/>
    </row>
    <row r="277" spans="1:25" ht="43.2">
      <c r="A277" s="283">
        <v>268</v>
      </c>
      <c r="B277" s="215" t="s">
        <v>741</v>
      </c>
      <c r="C277" s="234">
        <v>44046</v>
      </c>
      <c r="D277" s="221" t="s">
        <v>742</v>
      </c>
      <c r="E277" s="282" t="s">
        <v>743</v>
      </c>
      <c r="F277" s="200"/>
      <c r="G277" s="3"/>
      <c r="H277" s="3"/>
      <c r="I277" s="3"/>
      <c r="J277" s="3"/>
      <c r="K277" s="3"/>
      <c r="L277" s="3"/>
      <c r="M277" s="3"/>
      <c r="N277" s="3"/>
      <c r="O277" s="3"/>
      <c r="P277" s="3"/>
      <c r="Q277" s="3"/>
      <c r="R277" s="3"/>
      <c r="S277" s="3"/>
      <c r="T277" s="3"/>
      <c r="U277" s="3"/>
      <c r="V277" s="3"/>
      <c r="W277" s="3"/>
      <c r="X277" s="3"/>
      <c r="Y277" s="3"/>
    </row>
    <row r="278" spans="1:25" ht="57.6">
      <c r="A278" s="283">
        <v>269</v>
      </c>
      <c r="B278" s="215" t="s">
        <v>744</v>
      </c>
      <c r="C278" s="285">
        <v>44047</v>
      </c>
      <c r="D278" s="281" t="s">
        <v>745</v>
      </c>
      <c r="E278" s="280" t="s">
        <v>746</v>
      </c>
      <c r="F278" s="222"/>
      <c r="G278" s="113"/>
      <c r="H278" s="113"/>
      <c r="I278" s="113"/>
      <c r="J278" s="113"/>
      <c r="K278" s="113"/>
      <c r="L278" s="113"/>
      <c r="M278" s="113"/>
      <c r="N278" s="113"/>
      <c r="O278" s="113"/>
      <c r="P278" s="113"/>
      <c r="Q278" s="113"/>
      <c r="R278" s="113"/>
      <c r="S278" s="113"/>
      <c r="T278" s="113"/>
      <c r="U278" s="113"/>
      <c r="V278" s="113"/>
      <c r="W278" s="113"/>
      <c r="X278" s="113"/>
      <c r="Y278" s="113"/>
    </row>
    <row r="279" spans="1:25" ht="57.6">
      <c r="A279" s="283">
        <v>270</v>
      </c>
      <c r="B279" s="215" t="s">
        <v>747</v>
      </c>
      <c r="C279" s="286">
        <v>44047</v>
      </c>
      <c r="D279" s="221" t="s">
        <v>748</v>
      </c>
      <c r="E279" s="281" t="s">
        <v>749</v>
      </c>
      <c r="F279" s="221"/>
      <c r="G279" s="113"/>
      <c r="H279" s="113"/>
      <c r="I279" s="113"/>
      <c r="J279" s="113"/>
      <c r="K279" s="113"/>
      <c r="L279" s="113"/>
      <c r="M279" s="113"/>
      <c r="N279" s="113"/>
      <c r="O279" s="113"/>
      <c r="P279" s="113"/>
      <c r="Q279" s="113"/>
      <c r="R279" s="113"/>
      <c r="S279" s="113"/>
      <c r="T279" s="113"/>
      <c r="U279" s="113"/>
      <c r="V279" s="113"/>
      <c r="W279" s="113"/>
      <c r="X279" s="113"/>
      <c r="Y279" s="113"/>
    </row>
    <row r="280" spans="1:25" ht="57.6">
      <c r="A280" s="283">
        <v>271</v>
      </c>
      <c r="B280" s="215" t="s">
        <v>750</v>
      </c>
      <c r="C280" s="234">
        <v>44048</v>
      </c>
      <c r="D280" s="287" t="s">
        <v>751</v>
      </c>
      <c r="E280" s="280" t="s">
        <v>752</v>
      </c>
      <c r="F280" s="222"/>
      <c r="G280" s="113"/>
      <c r="H280" s="113"/>
      <c r="I280" s="113"/>
      <c r="J280" s="113"/>
      <c r="K280" s="113"/>
      <c r="L280" s="113"/>
      <c r="M280" s="113"/>
      <c r="N280" s="113"/>
      <c r="O280" s="113"/>
      <c r="P280" s="113"/>
      <c r="Q280" s="113"/>
      <c r="R280" s="113"/>
      <c r="S280" s="113"/>
      <c r="T280" s="113"/>
      <c r="U280" s="113"/>
      <c r="V280" s="113"/>
      <c r="W280" s="113"/>
      <c r="X280" s="113"/>
      <c r="Y280" s="113"/>
    </row>
    <row r="281" spans="1:25" ht="72">
      <c r="A281" s="283">
        <v>272</v>
      </c>
      <c r="B281" s="212" t="s">
        <v>753</v>
      </c>
      <c r="C281" s="234">
        <v>44077</v>
      </c>
      <c r="D281" s="288" t="s">
        <v>754</v>
      </c>
      <c r="E281" s="280" t="s">
        <v>755</v>
      </c>
      <c r="F281" s="217"/>
      <c r="G281" s="3"/>
      <c r="H281" s="3"/>
      <c r="I281" s="3"/>
      <c r="J281" s="3"/>
      <c r="K281" s="3"/>
      <c r="L281" s="3"/>
      <c r="M281" s="3"/>
      <c r="N281" s="3"/>
      <c r="O281" s="3"/>
      <c r="P281" s="3"/>
      <c r="Q281" s="3"/>
      <c r="R281" s="3"/>
      <c r="S281" s="3"/>
      <c r="T281" s="3"/>
      <c r="U281" s="3"/>
      <c r="V281" s="3"/>
      <c r="W281" s="3"/>
      <c r="X281" s="3"/>
      <c r="Y281" s="3"/>
    </row>
    <row r="282" spans="1:25" ht="28.8">
      <c r="A282" s="283">
        <v>273</v>
      </c>
      <c r="B282" s="212" t="s">
        <v>756</v>
      </c>
      <c r="C282" s="289">
        <v>44091</v>
      </c>
      <c r="D282" s="231" t="s">
        <v>757</v>
      </c>
      <c r="E282" s="290" t="s">
        <v>758</v>
      </c>
      <c r="F282" s="217"/>
      <c r="G282" s="3"/>
      <c r="H282" s="3"/>
      <c r="I282" s="3"/>
      <c r="J282" s="3"/>
      <c r="K282" s="3"/>
      <c r="L282" s="3"/>
      <c r="M282" s="3"/>
      <c r="N282" s="3"/>
      <c r="O282" s="3"/>
      <c r="P282" s="3"/>
      <c r="Q282" s="3"/>
      <c r="R282" s="3"/>
      <c r="S282" s="3"/>
      <c r="T282" s="3"/>
      <c r="U282" s="3"/>
      <c r="V282" s="3"/>
      <c r="W282" s="3"/>
      <c r="X282" s="3"/>
      <c r="Y282" s="3"/>
    </row>
    <row r="283" spans="1:25" ht="43.2" hidden="1">
      <c r="A283" s="211">
        <v>274</v>
      </c>
      <c r="B283" s="212" t="s">
        <v>759</v>
      </c>
      <c r="C283" s="223">
        <v>44091</v>
      </c>
      <c r="D283" s="206" t="s">
        <v>760</v>
      </c>
      <c r="E283" s="214" t="s">
        <v>761</v>
      </c>
      <c r="F283" s="217"/>
      <c r="G283" s="3"/>
      <c r="H283" s="3"/>
      <c r="I283" s="3"/>
      <c r="J283" s="3"/>
      <c r="K283" s="3"/>
      <c r="L283" s="3"/>
      <c r="M283" s="3"/>
      <c r="N283" s="3"/>
      <c r="O283" s="3"/>
      <c r="P283" s="3"/>
      <c r="Q283" s="3"/>
      <c r="R283" s="3"/>
      <c r="S283" s="3"/>
      <c r="T283" s="3"/>
      <c r="U283" s="3"/>
      <c r="V283" s="3"/>
      <c r="W283" s="3"/>
      <c r="X283" s="3"/>
      <c r="Y283" s="3"/>
    </row>
    <row r="284" spans="1:25" ht="28.8">
      <c r="A284" s="283">
        <v>275</v>
      </c>
      <c r="B284" s="215" t="s">
        <v>762</v>
      </c>
      <c r="C284" s="284">
        <v>44109</v>
      </c>
      <c r="D284" s="221" t="s">
        <v>763</v>
      </c>
      <c r="E284" s="221" t="s">
        <v>764</v>
      </c>
      <c r="F284" s="217"/>
      <c r="G284" s="3"/>
      <c r="H284" s="3"/>
      <c r="I284" s="3"/>
      <c r="J284" s="3"/>
      <c r="K284" s="3"/>
      <c r="L284" s="3"/>
      <c r="M284" s="3"/>
      <c r="N284" s="3"/>
      <c r="O284" s="3"/>
      <c r="P284" s="3"/>
      <c r="Q284" s="3"/>
      <c r="R284" s="3"/>
      <c r="S284" s="3"/>
      <c r="T284" s="3"/>
      <c r="U284" s="3"/>
      <c r="V284" s="3"/>
      <c r="W284" s="3"/>
      <c r="X284" s="3"/>
      <c r="Y284" s="3"/>
    </row>
    <row r="285" spans="1:25" ht="57.6">
      <c r="A285" s="283">
        <v>276</v>
      </c>
      <c r="B285" s="215" t="s">
        <v>765</v>
      </c>
      <c r="C285" s="284">
        <v>44110</v>
      </c>
      <c r="D285" s="221" t="s">
        <v>766</v>
      </c>
      <c r="E285" s="221" t="s">
        <v>767</v>
      </c>
      <c r="F285" s="217"/>
      <c r="G285" s="3"/>
      <c r="H285" s="3"/>
      <c r="I285" s="3"/>
      <c r="J285" s="3"/>
      <c r="K285" s="3"/>
      <c r="L285" s="3"/>
      <c r="M285" s="3"/>
      <c r="N285" s="3"/>
      <c r="O285" s="3"/>
      <c r="P285" s="3"/>
      <c r="Q285" s="3"/>
      <c r="R285" s="3"/>
      <c r="S285" s="3"/>
      <c r="T285" s="3"/>
      <c r="U285" s="3"/>
      <c r="V285" s="3"/>
      <c r="W285" s="3"/>
      <c r="X285" s="3"/>
      <c r="Y285" s="3"/>
    </row>
    <row r="286" spans="1:25" ht="43.2">
      <c r="A286" s="283">
        <v>277</v>
      </c>
      <c r="B286" s="215" t="s">
        <v>768</v>
      </c>
      <c r="C286" s="284">
        <v>44110</v>
      </c>
      <c r="D286" s="221" t="s">
        <v>769</v>
      </c>
      <c r="E286" s="221" t="s">
        <v>770</v>
      </c>
      <c r="F286" s="217"/>
      <c r="G286" s="3"/>
      <c r="H286" s="3"/>
      <c r="I286" s="3"/>
      <c r="J286" s="3"/>
      <c r="K286" s="3"/>
      <c r="L286" s="3"/>
      <c r="M286" s="3"/>
      <c r="N286" s="3"/>
      <c r="O286" s="3"/>
      <c r="P286" s="3"/>
      <c r="Q286" s="3"/>
      <c r="R286" s="3"/>
      <c r="S286" s="3"/>
      <c r="T286" s="3"/>
      <c r="U286" s="3"/>
      <c r="V286" s="3"/>
      <c r="W286" s="3"/>
      <c r="X286" s="3"/>
      <c r="Y286" s="3"/>
    </row>
    <row r="287" spans="1:25" ht="72">
      <c r="A287" s="283">
        <v>278</v>
      </c>
      <c r="B287" s="215" t="s">
        <v>771</v>
      </c>
      <c r="C287" s="284">
        <v>44111</v>
      </c>
      <c r="D287" s="221" t="s">
        <v>772</v>
      </c>
      <c r="E287" s="221" t="s">
        <v>21</v>
      </c>
      <c r="F287" s="217"/>
      <c r="G287" s="3"/>
      <c r="H287" s="3"/>
      <c r="I287" s="3"/>
      <c r="J287" s="3"/>
      <c r="K287" s="3"/>
      <c r="L287" s="3"/>
      <c r="M287" s="3"/>
      <c r="N287" s="3"/>
      <c r="O287" s="3"/>
      <c r="P287" s="3"/>
      <c r="Q287" s="3"/>
      <c r="R287" s="3"/>
      <c r="S287" s="3"/>
      <c r="T287" s="3"/>
      <c r="U287" s="3"/>
      <c r="V287" s="3"/>
      <c r="W287" s="3"/>
      <c r="X287" s="3"/>
      <c r="Y287" s="3"/>
    </row>
    <row r="288" spans="1:25" ht="57.6">
      <c r="A288" s="283">
        <v>280</v>
      </c>
      <c r="B288" s="215" t="s">
        <v>773</v>
      </c>
      <c r="C288" s="284">
        <v>44111</v>
      </c>
      <c r="D288" s="221" t="s">
        <v>774</v>
      </c>
      <c r="E288" s="221" t="s">
        <v>775</v>
      </c>
      <c r="F288" s="217"/>
      <c r="G288" s="3"/>
      <c r="H288" s="3"/>
      <c r="I288" s="3"/>
      <c r="J288" s="3"/>
      <c r="K288" s="3"/>
      <c r="L288" s="3"/>
      <c r="M288" s="3"/>
      <c r="N288" s="3"/>
      <c r="O288" s="3"/>
      <c r="P288" s="3"/>
      <c r="Q288" s="3"/>
      <c r="R288" s="3"/>
      <c r="S288" s="3"/>
      <c r="T288" s="3"/>
      <c r="U288" s="3"/>
      <c r="V288" s="3"/>
      <c r="W288" s="3"/>
      <c r="X288" s="3"/>
      <c r="Y288" s="3"/>
    </row>
    <row r="289" spans="1:25" ht="43.2">
      <c r="A289" s="283">
        <v>281</v>
      </c>
      <c r="B289" s="215" t="s">
        <v>776</v>
      </c>
      <c r="C289" s="284">
        <v>44116</v>
      </c>
      <c r="D289" s="221" t="s">
        <v>777</v>
      </c>
      <c r="E289" s="221" t="s">
        <v>778</v>
      </c>
      <c r="F289" s="217"/>
      <c r="G289" s="3"/>
      <c r="H289" s="3"/>
      <c r="I289" s="3"/>
      <c r="J289" s="3"/>
      <c r="K289" s="3"/>
      <c r="L289" s="3"/>
      <c r="M289" s="3"/>
      <c r="N289" s="3"/>
      <c r="O289" s="3"/>
      <c r="P289" s="3"/>
      <c r="Q289" s="3"/>
      <c r="R289" s="3"/>
      <c r="S289" s="3"/>
      <c r="T289" s="3"/>
      <c r="U289" s="3"/>
      <c r="V289" s="3"/>
      <c r="W289" s="3"/>
      <c r="X289" s="3"/>
      <c r="Y289" s="3"/>
    </row>
    <row r="290" spans="1:25" ht="43.2" hidden="1">
      <c r="A290" s="224">
        <v>282</v>
      </c>
      <c r="B290" s="204" t="s">
        <v>779</v>
      </c>
      <c r="C290" s="208">
        <v>44120</v>
      </c>
      <c r="D290" s="206" t="s">
        <v>780</v>
      </c>
      <c r="E290" s="214" t="s">
        <v>781</v>
      </c>
      <c r="F290" s="200"/>
      <c r="G290" s="3"/>
      <c r="H290" s="3"/>
      <c r="I290" s="3"/>
      <c r="J290" s="3"/>
      <c r="K290" s="3"/>
      <c r="L290" s="3"/>
      <c r="M290" s="3"/>
      <c r="N290" s="3"/>
      <c r="O290" s="3"/>
      <c r="P290" s="3"/>
      <c r="Q290" s="3"/>
      <c r="R290" s="3"/>
      <c r="S290" s="3"/>
      <c r="T290" s="3"/>
      <c r="U290" s="3"/>
      <c r="V290" s="3"/>
      <c r="W290" s="3"/>
      <c r="X290" s="3"/>
      <c r="Y290" s="3"/>
    </row>
    <row r="291" spans="1:25" ht="43.2" hidden="1">
      <c r="A291" s="225">
        <v>283</v>
      </c>
      <c r="B291" s="226" t="s">
        <v>782</v>
      </c>
      <c r="C291" s="227">
        <v>44148</v>
      </c>
      <c r="D291" s="228" t="s">
        <v>783</v>
      </c>
      <c r="E291" s="214" t="s">
        <v>784</v>
      </c>
      <c r="F291" s="206"/>
      <c r="G291" s="13"/>
      <c r="H291" s="13"/>
      <c r="I291" s="13"/>
      <c r="J291" s="13"/>
      <c r="K291" s="13"/>
      <c r="L291" s="13"/>
      <c r="M291" s="13"/>
      <c r="N291" s="13"/>
      <c r="O291" s="13"/>
      <c r="P291" s="13"/>
      <c r="Q291" s="13"/>
      <c r="R291" s="13"/>
      <c r="S291" s="13"/>
      <c r="T291" s="13"/>
      <c r="U291" s="13"/>
      <c r="V291" s="13"/>
      <c r="W291" s="13"/>
      <c r="X291" s="13"/>
      <c r="Y291" s="13"/>
    </row>
    <row r="292" spans="1:25" ht="43.2">
      <c r="A292" s="221">
        <v>284</v>
      </c>
      <c r="B292" s="229" t="s">
        <v>785</v>
      </c>
      <c r="C292" s="284">
        <v>44155</v>
      </c>
      <c r="D292" s="231" t="s">
        <v>786</v>
      </c>
      <c r="E292" s="291" t="s">
        <v>787</v>
      </c>
      <c r="F292" s="200"/>
      <c r="G292" s="3"/>
      <c r="H292" s="3"/>
      <c r="I292" s="3"/>
      <c r="J292" s="3"/>
      <c r="K292" s="3"/>
      <c r="L292" s="3"/>
      <c r="M292" s="3"/>
      <c r="N292" s="3"/>
      <c r="O292" s="3"/>
      <c r="P292" s="3"/>
      <c r="Q292" s="3"/>
      <c r="R292" s="3"/>
      <c r="S292" s="3"/>
      <c r="T292" s="3"/>
      <c r="U292" s="3"/>
      <c r="V292" s="3"/>
      <c r="W292" s="3"/>
      <c r="X292" s="3"/>
      <c r="Y292" s="3"/>
    </row>
    <row r="293" spans="1:25" ht="43.2">
      <c r="A293" s="221">
        <v>285</v>
      </c>
      <c r="B293" s="204" t="s">
        <v>788</v>
      </c>
      <c r="C293" s="234">
        <v>44166</v>
      </c>
      <c r="D293" s="292" t="s">
        <v>789</v>
      </c>
      <c r="E293" s="207" t="s">
        <v>790</v>
      </c>
      <c r="F293" s="200"/>
      <c r="G293" s="3"/>
      <c r="H293" s="3"/>
      <c r="I293" s="3"/>
      <c r="J293" s="3"/>
      <c r="K293" s="3"/>
      <c r="L293" s="3"/>
      <c r="M293" s="3"/>
      <c r="N293" s="3"/>
      <c r="O293" s="3"/>
      <c r="P293" s="3"/>
      <c r="Q293" s="3"/>
      <c r="R293" s="3"/>
      <c r="S293" s="3"/>
      <c r="T293" s="3"/>
      <c r="U293" s="3"/>
      <c r="V293" s="3"/>
      <c r="W293" s="3"/>
      <c r="X293" s="3"/>
      <c r="Y293" s="3"/>
    </row>
    <row r="294" spans="1:25" ht="57.6">
      <c r="A294" s="221">
        <v>286</v>
      </c>
      <c r="B294" s="204" t="s">
        <v>791</v>
      </c>
      <c r="C294" s="234">
        <v>44167</v>
      </c>
      <c r="D294" s="231" t="s">
        <v>792</v>
      </c>
      <c r="E294" s="207" t="s">
        <v>793</v>
      </c>
      <c r="F294" s="200"/>
      <c r="G294" s="3"/>
      <c r="H294" s="3"/>
      <c r="I294" s="3"/>
      <c r="J294" s="3"/>
      <c r="K294" s="3"/>
      <c r="L294" s="3"/>
      <c r="M294" s="3"/>
      <c r="N294" s="3"/>
      <c r="O294" s="3"/>
      <c r="P294" s="3"/>
      <c r="Q294" s="3"/>
      <c r="R294" s="3"/>
      <c r="S294" s="3"/>
      <c r="T294" s="3"/>
      <c r="U294" s="3"/>
      <c r="V294" s="3"/>
      <c r="W294" s="3"/>
      <c r="X294" s="3"/>
      <c r="Y294" s="3"/>
    </row>
    <row r="295" spans="1:25" ht="43.2">
      <c r="A295" s="221">
        <v>287</v>
      </c>
      <c r="B295" s="204" t="s">
        <v>794</v>
      </c>
      <c r="C295" s="234">
        <v>44168</v>
      </c>
      <c r="D295" s="231" t="s">
        <v>795</v>
      </c>
      <c r="E295" s="207" t="s">
        <v>796</v>
      </c>
      <c r="F295" s="200"/>
      <c r="G295" s="3"/>
      <c r="H295" s="3"/>
      <c r="I295" s="3"/>
      <c r="J295" s="3"/>
      <c r="K295" s="3"/>
      <c r="L295" s="3"/>
      <c r="M295" s="3"/>
      <c r="N295" s="3"/>
      <c r="O295" s="3"/>
      <c r="P295" s="3"/>
      <c r="Q295" s="3"/>
      <c r="R295" s="3"/>
      <c r="S295" s="3"/>
      <c r="T295" s="3"/>
      <c r="U295" s="3"/>
      <c r="V295" s="3"/>
      <c r="W295" s="3"/>
      <c r="X295" s="3"/>
      <c r="Y295" s="3"/>
    </row>
    <row r="296" spans="1:25" ht="43.2">
      <c r="A296" s="221">
        <v>288</v>
      </c>
      <c r="B296" s="204" t="s">
        <v>797</v>
      </c>
      <c r="C296" s="234">
        <v>44168</v>
      </c>
      <c r="D296" s="231" t="s">
        <v>798</v>
      </c>
      <c r="E296" s="207" t="s">
        <v>799</v>
      </c>
      <c r="F296" s="200"/>
      <c r="G296" s="3"/>
      <c r="H296" s="3"/>
      <c r="I296" s="3"/>
      <c r="J296" s="3"/>
      <c r="K296" s="3"/>
      <c r="L296" s="3"/>
      <c r="M296" s="3"/>
      <c r="N296" s="3"/>
      <c r="O296" s="3"/>
      <c r="P296" s="3"/>
      <c r="Q296" s="3"/>
      <c r="R296" s="3"/>
      <c r="S296" s="3"/>
      <c r="T296" s="3"/>
      <c r="U296" s="3"/>
      <c r="V296" s="3"/>
      <c r="W296" s="3"/>
      <c r="X296" s="3"/>
      <c r="Y296" s="3"/>
    </row>
    <row r="297" spans="1:25" ht="57.6">
      <c r="A297" s="221">
        <v>289</v>
      </c>
      <c r="B297" s="204" t="s">
        <v>800</v>
      </c>
      <c r="C297" s="234">
        <v>44168</v>
      </c>
      <c r="D297" s="231" t="s">
        <v>801</v>
      </c>
      <c r="E297" s="207" t="s">
        <v>802</v>
      </c>
      <c r="F297" s="200"/>
      <c r="G297" s="3"/>
      <c r="H297" s="3"/>
      <c r="I297" s="3"/>
      <c r="J297" s="3"/>
      <c r="K297" s="3"/>
      <c r="L297" s="3"/>
      <c r="M297" s="3"/>
      <c r="N297" s="3"/>
      <c r="O297" s="3"/>
      <c r="P297" s="3"/>
      <c r="Q297" s="3"/>
      <c r="R297" s="3"/>
      <c r="S297" s="3"/>
      <c r="T297" s="3"/>
      <c r="U297" s="3"/>
      <c r="V297" s="3"/>
      <c r="W297" s="3"/>
      <c r="X297" s="3"/>
      <c r="Y297" s="3"/>
    </row>
    <row r="298" spans="1:25" ht="43.2">
      <c r="A298" s="221">
        <v>290</v>
      </c>
      <c r="B298" s="204" t="s">
        <v>803</v>
      </c>
      <c r="C298" s="234">
        <v>44168</v>
      </c>
      <c r="D298" s="231" t="s">
        <v>804</v>
      </c>
      <c r="E298" s="207" t="s">
        <v>805</v>
      </c>
      <c r="F298" s="200"/>
      <c r="G298" s="3"/>
      <c r="H298" s="3"/>
      <c r="I298" s="3"/>
      <c r="J298" s="3"/>
      <c r="K298" s="3"/>
      <c r="L298" s="3"/>
      <c r="M298" s="3"/>
      <c r="N298" s="3"/>
      <c r="O298" s="3"/>
      <c r="P298" s="3"/>
      <c r="Q298" s="3"/>
      <c r="R298" s="3"/>
      <c r="S298" s="3"/>
      <c r="T298" s="3"/>
      <c r="U298" s="3"/>
      <c r="V298" s="3"/>
      <c r="W298" s="3"/>
      <c r="X298" s="3"/>
      <c r="Y298" s="3"/>
    </row>
    <row r="299" spans="1:25" ht="57.6">
      <c r="A299" s="221">
        <v>291</v>
      </c>
      <c r="B299" s="204" t="s">
        <v>806</v>
      </c>
      <c r="C299" s="234">
        <v>44168</v>
      </c>
      <c r="D299" s="231" t="s">
        <v>807</v>
      </c>
      <c r="E299" s="207" t="s">
        <v>808</v>
      </c>
      <c r="F299" s="200"/>
      <c r="G299" s="3"/>
      <c r="H299" s="3"/>
      <c r="I299" s="3"/>
      <c r="J299" s="3"/>
      <c r="K299" s="3"/>
      <c r="L299" s="3"/>
      <c r="M299" s="3"/>
      <c r="N299" s="3"/>
      <c r="O299" s="3"/>
      <c r="P299" s="3"/>
      <c r="Q299" s="3"/>
      <c r="R299" s="3"/>
      <c r="S299" s="3"/>
      <c r="T299" s="3"/>
      <c r="U299" s="3"/>
      <c r="V299" s="3"/>
      <c r="W299" s="3"/>
      <c r="X299" s="3"/>
      <c r="Y299" s="3"/>
    </row>
    <row r="300" spans="1:25" ht="43.2">
      <c r="A300" s="221">
        <v>292</v>
      </c>
      <c r="B300" s="204" t="s">
        <v>809</v>
      </c>
      <c r="C300" s="234">
        <v>44169</v>
      </c>
      <c r="D300" s="231" t="s">
        <v>810</v>
      </c>
      <c r="E300" s="207" t="s">
        <v>811</v>
      </c>
      <c r="F300" s="200"/>
      <c r="G300" s="3"/>
      <c r="H300" s="3"/>
      <c r="I300" s="3"/>
      <c r="J300" s="3"/>
      <c r="K300" s="3"/>
      <c r="L300" s="3"/>
      <c r="M300" s="3"/>
      <c r="N300" s="3"/>
      <c r="O300" s="3"/>
      <c r="P300" s="3"/>
      <c r="Q300" s="3"/>
      <c r="R300" s="3"/>
      <c r="S300" s="3"/>
      <c r="T300" s="3"/>
      <c r="U300" s="3"/>
      <c r="V300" s="3"/>
      <c r="W300" s="3"/>
      <c r="X300" s="3"/>
      <c r="Y300" s="3"/>
    </row>
    <row r="301" spans="1:25" ht="57.6" hidden="1">
      <c r="A301" s="199">
        <v>291</v>
      </c>
      <c r="B301" s="229" t="s">
        <v>812</v>
      </c>
      <c r="C301" s="213">
        <v>44182</v>
      </c>
      <c r="D301" s="206" t="s">
        <v>813</v>
      </c>
      <c r="E301" s="214" t="s">
        <v>814</v>
      </c>
      <c r="F301" s="200"/>
      <c r="G301" s="3"/>
      <c r="H301" s="3"/>
      <c r="I301" s="3"/>
      <c r="J301" s="3"/>
      <c r="K301" s="3"/>
      <c r="L301" s="3"/>
      <c r="M301" s="3"/>
      <c r="N301" s="3"/>
      <c r="O301" s="3"/>
      <c r="P301" s="3"/>
      <c r="Q301" s="3"/>
      <c r="R301" s="3"/>
      <c r="S301" s="3"/>
      <c r="T301" s="3"/>
      <c r="U301" s="3"/>
      <c r="V301" s="3"/>
      <c r="W301" s="3"/>
      <c r="X301" s="3"/>
      <c r="Y301" s="3"/>
    </row>
    <row r="302" spans="1:25" s="5" customFormat="1" ht="57.6" hidden="1">
      <c r="A302" s="221">
        <v>292</v>
      </c>
      <c r="B302" s="204" t="s">
        <v>815</v>
      </c>
      <c r="C302" s="230">
        <v>44201</v>
      </c>
      <c r="D302" s="225" t="s">
        <v>816</v>
      </c>
      <c r="E302" s="240" t="s">
        <v>817</v>
      </c>
      <c r="F302" s="221"/>
      <c r="G302" s="113"/>
      <c r="H302" s="113"/>
      <c r="I302" s="113"/>
      <c r="J302" s="113"/>
      <c r="K302" s="113"/>
      <c r="L302" s="113"/>
      <c r="M302" s="113"/>
      <c r="N302" s="113"/>
      <c r="O302" s="113"/>
      <c r="P302" s="113"/>
      <c r="Q302" s="113"/>
      <c r="R302" s="113"/>
      <c r="S302" s="113"/>
      <c r="T302" s="113"/>
      <c r="U302" s="113"/>
      <c r="V302" s="113"/>
      <c r="W302" s="113"/>
      <c r="X302" s="113"/>
      <c r="Y302" s="113"/>
    </row>
    <row r="303" spans="1:25" ht="57.6" hidden="1">
      <c r="A303" s="199">
        <v>293</v>
      </c>
      <c r="B303" s="204" t="s">
        <v>818</v>
      </c>
      <c r="C303" s="232">
        <v>44204</v>
      </c>
      <c r="D303" s="206" t="s">
        <v>819</v>
      </c>
      <c r="E303" s="205" t="s">
        <v>21</v>
      </c>
      <c r="F303" s="200"/>
      <c r="G303" s="3"/>
      <c r="H303" s="3"/>
      <c r="I303" s="3"/>
      <c r="J303" s="3"/>
      <c r="K303" s="3"/>
      <c r="L303" s="3"/>
      <c r="M303" s="3"/>
      <c r="N303" s="3"/>
      <c r="O303" s="3"/>
      <c r="P303" s="3"/>
      <c r="Q303" s="3"/>
      <c r="R303" s="3"/>
      <c r="S303" s="3"/>
      <c r="T303" s="3"/>
      <c r="U303" s="3"/>
      <c r="V303" s="3"/>
      <c r="W303" s="3"/>
      <c r="X303" s="3"/>
      <c r="Y303" s="3"/>
    </row>
    <row r="304" spans="1:25" ht="57.6" hidden="1">
      <c r="A304" s="199">
        <v>294</v>
      </c>
      <c r="B304" s="204" t="s">
        <v>820</v>
      </c>
      <c r="C304" s="232">
        <v>44204</v>
      </c>
      <c r="D304" s="206" t="s">
        <v>821</v>
      </c>
      <c r="E304" s="205" t="s">
        <v>21</v>
      </c>
      <c r="F304" s="200"/>
      <c r="G304" s="3"/>
      <c r="H304" s="3"/>
      <c r="I304" s="3"/>
      <c r="J304" s="3"/>
      <c r="K304" s="3"/>
      <c r="L304" s="3"/>
      <c r="M304" s="3"/>
      <c r="N304" s="3"/>
      <c r="O304" s="3"/>
      <c r="P304" s="3"/>
      <c r="Q304" s="3"/>
      <c r="R304" s="3"/>
      <c r="S304" s="3"/>
      <c r="T304" s="3"/>
      <c r="U304" s="3"/>
      <c r="V304" s="3"/>
      <c r="W304" s="3"/>
      <c r="X304" s="3"/>
      <c r="Y304" s="3"/>
    </row>
    <row r="305" spans="1:25" ht="57.6" hidden="1">
      <c r="A305" s="199">
        <v>295</v>
      </c>
      <c r="B305" s="204" t="s">
        <v>822</v>
      </c>
      <c r="C305" s="232">
        <v>44204</v>
      </c>
      <c r="D305" s="206" t="s">
        <v>823</v>
      </c>
      <c r="E305" s="205" t="s">
        <v>21</v>
      </c>
      <c r="F305" s="200"/>
      <c r="G305" s="3"/>
      <c r="H305" s="3"/>
      <c r="I305" s="3"/>
      <c r="J305" s="3"/>
      <c r="K305" s="3"/>
      <c r="L305" s="3"/>
      <c r="M305" s="3"/>
      <c r="N305" s="3"/>
      <c r="O305" s="3"/>
      <c r="P305" s="3"/>
      <c r="Q305" s="3"/>
      <c r="R305" s="3"/>
      <c r="S305" s="3"/>
      <c r="T305" s="3"/>
      <c r="U305" s="3"/>
      <c r="V305" s="3"/>
      <c r="W305" s="3"/>
      <c r="X305" s="3"/>
      <c r="Y305" s="3"/>
    </row>
    <row r="306" spans="1:25" ht="28.8" hidden="1">
      <c r="A306" s="199">
        <v>296</v>
      </c>
      <c r="B306" s="233" t="s">
        <v>824</v>
      </c>
      <c r="C306" s="232">
        <v>44208</v>
      </c>
      <c r="D306" s="206" t="s">
        <v>825</v>
      </c>
      <c r="E306" s="214" t="s">
        <v>826</v>
      </c>
      <c r="F306" s="200"/>
      <c r="G306" s="3"/>
      <c r="H306" s="3"/>
      <c r="I306" s="3"/>
      <c r="J306" s="3"/>
      <c r="K306" s="3"/>
      <c r="L306" s="3"/>
      <c r="M306" s="3"/>
      <c r="N306" s="3"/>
      <c r="O306" s="3"/>
      <c r="P306" s="3"/>
      <c r="Q306" s="3"/>
      <c r="R306" s="3"/>
      <c r="S306" s="3"/>
      <c r="T306" s="3"/>
      <c r="U306" s="3"/>
      <c r="V306" s="3"/>
      <c r="W306" s="3"/>
      <c r="X306" s="3"/>
      <c r="Y306" s="3"/>
    </row>
    <row r="307" spans="1:25" ht="57.6" hidden="1">
      <c r="A307" s="199">
        <v>297</v>
      </c>
      <c r="B307" s="233" t="s">
        <v>827</v>
      </c>
      <c r="C307" s="232">
        <v>44208</v>
      </c>
      <c r="D307" s="206" t="s">
        <v>828</v>
      </c>
      <c r="E307" s="214" t="s">
        <v>829</v>
      </c>
      <c r="F307" s="200"/>
      <c r="G307" s="3"/>
      <c r="H307" s="3"/>
      <c r="I307" s="3"/>
      <c r="J307" s="3"/>
      <c r="K307" s="3"/>
      <c r="L307" s="3"/>
      <c r="M307" s="3"/>
      <c r="N307" s="3"/>
      <c r="O307" s="3"/>
      <c r="P307" s="3"/>
      <c r="Q307" s="3"/>
      <c r="R307" s="3"/>
      <c r="S307" s="3"/>
      <c r="T307" s="3"/>
      <c r="U307" s="3"/>
      <c r="V307" s="3"/>
      <c r="W307" s="3"/>
      <c r="X307" s="3"/>
      <c r="Y307" s="3"/>
    </row>
    <row r="308" spans="1:25" ht="57.6" hidden="1">
      <c r="A308" s="199">
        <v>299</v>
      </c>
      <c r="B308" s="233" t="s">
        <v>720</v>
      </c>
      <c r="C308" s="232">
        <v>44210</v>
      </c>
      <c r="D308" s="206" t="s">
        <v>831</v>
      </c>
      <c r="E308" s="214" t="s">
        <v>830</v>
      </c>
      <c r="F308" s="200"/>
      <c r="G308" s="3"/>
      <c r="H308" s="3"/>
      <c r="I308" s="3"/>
      <c r="J308" s="3"/>
      <c r="K308" s="3"/>
      <c r="L308" s="3"/>
      <c r="M308" s="3"/>
      <c r="N308" s="3"/>
      <c r="O308" s="3"/>
      <c r="P308" s="3"/>
      <c r="Q308" s="3"/>
      <c r="R308" s="3"/>
      <c r="S308" s="3"/>
      <c r="T308" s="3"/>
      <c r="U308" s="3"/>
      <c r="V308" s="3"/>
      <c r="W308" s="3"/>
      <c r="X308" s="3"/>
      <c r="Y308" s="3"/>
    </row>
    <row r="309" spans="1:25" ht="57.6" hidden="1">
      <c r="A309" s="199">
        <v>300</v>
      </c>
      <c r="B309" s="233" t="s">
        <v>832</v>
      </c>
      <c r="C309" s="232">
        <v>44210</v>
      </c>
      <c r="D309" s="206" t="s">
        <v>833</v>
      </c>
      <c r="E309" s="214" t="s">
        <v>830</v>
      </c>
      <c r="F309" s="200"/>
      <c r="G309" s="3"/>
      <c r="H309" s="3"/>
      <c r="I309" s="3"/>
      <c r="J309" s="3"/>
      <c r="K309" s="3"/>
      <c r="L309" s="3"/>
      <c r="M309" s="3"/>
      <c r="N309" s="3"/>
      <c r="O309" s="3"/>
      <c r="P309" s="3"/>
      <c r="Q309" s="3"/>
      <c r="R309" s="3"/>
      <c r="S309" s="3"/>
      <c r="T309" s="3"/>
      <c r="U309" s="3"/>
      <c r="V309" s="3"/>
      <c r="W309" s="3"/>
      <c r="X309" s="3"/>
      <c r="Y309" s="3"/>
    </row>
    <row r="310" spans="1:25" ht="28.8">
      <c r="A310" s="221">
        <v>301</v>
      </c>
      <c r="B310" s="32" t="s">
        <v>834</v>
      </c>
      <c r="C310" s="234">
        <v>44223</v>
      </c>
      <c r="D310" s="231" t="s">
        <v>835</v>
      </c>
      <c r="E310" s="207" t="s">
        <v>836</v>
      </c>
      <c r="F310" s="200"/>
      <c r="G310" s="3"/>
      <c r="H310" s="3"/>
      <c r="I310" s="3"/>
      <c r="J310" s="3"/>
      <c r="K310" s="3"/>
      <c r="L310" s="3"/>
      <c r="M310" s="3"/>
      <c r="N310" s="3"/>
      <c r="O310" s="3"/>
      <c r="P310" s="3"/>
      <c r="Q310" s="3"/>
      <c r="R310" s="3"/>
      <c r="S310" s="3"/>
      <c r="T310" s="3"/>
      <c r="U310" s="3"/>
      <c r="V310" s="3"/>
      <c r="W310" s="3"/>
      <c r="X310" s="3"/>
      <c r="Y310" s="3"/>
    </row>
    <row r="311" spans="1:25" s="5" customFormat="1" ht="57.6" hidden="1">
      <c r="A311" s="221">
        <v>302</v>
      </c>
      <c r="B311" s="32" t="s">
        <v>837</v>
      </c>
      <c r="C311" s="234">
        <v>44223</v>
      </c>
      <c r="D311" s="225" t="s">
        <v>838</v>
      </c>
      <c r="E311" s="240" t="s">
        <v>839</v>
      </c>
      <c r="F311" s="221"/>
      <c r="G311" s="113"/>
      <c r="H311" s="113"/>
      <c r="I311" s="113"/>
      <c r="J311" s="113"/>
      <c r="K311" s="113"/>
      <c r="L311" s="113"/>
      <c r="M311" s="113"/>
      <c r="N311" s="113"/>
      <c r="O311" s="113"/>
      <c r="P311" s="113"/>
      <c r="Q311" s="113"/>
      <c r="R311" s="113"/>
      <c r="S311" s="113"/>
      <c r="T311" s="113"/>
      <c r="U311" s="113"/>
      <c r="V311" s="113"/>
      <c r="W311" s="113"/>
      <c r="X311" s="113"/>
      <c r="Y311" s="113"/>
    </row>
    <row r="312" spans="1:25" ht="57.6">
      <c r="A312" s="221">
        <v>303</v>
      </c>
      <c r="B312" s="32" t="s">
        <v>840</v>
      </c>
      <c r="C312" s="234">
        <v>44224</v>
      </c>
      <c r="D312" s="231" t="s">
        <v>841</v>
      </c>
      <c r="E312" s="207" t="s">
        <v>842</v>
      </c>
      <c r="F312" s="200"/>
      <c r="G312" s="3"/>
      <c r="H312" s="3"/>
      <c r="I312" s="3"/>
      <c r="J312" s="3"/>
      <c r="K312" s="3"/>
      <c r="L312" s="3"/>
      <c r="M312" s="3"/>
      <c r="N312" s="3"/>
      <c r="O312" s="3"/>
      <c r="P312" s="3"/>
      <c r="Q312" s="3"/>
      <c r="R312" s="3"/>
      <c r="S312" s="3"/>
      <c r="T312" s="3"/>
      <c r="U312" s="3"/>
      <c r="V312" s="3"/>
      <c r="W312" s="3"/>
      <c r="X312" s="3"/>
      <c r="Y312" s="3"/>
    </row>
    <row r="313" spans="1:25" ht="57.6">
      <c r="A313" s="221">
        <v>304</v>
      </c>
      <c r="B313" s="210" t="s">
        <v>843</v>
      </c>
      <c r="C313" s="234">
        <v>44228</v>
      </c>
      <c r="D313" s="293" t="s">
        <v>844</v>
      </c>
      <c r="E313" s="294" t="s">
        <v>845</v>
      </c>
      <c r="F313" s="200"/>
      <c r="G313" s="3"/>
      <c r="H313" s="3"/>
      <c r="I313" s="3"/>
      <c r="J313" s="3"/>
      <c r="K313" s="3"/>
      <c r="L313" s="3"/>
      <c r="M313" s="3"/>
      <c r="N313" s="3"/>
      <c r="O313" s="3"/>
      <c r="P313" s="3"/>
      <c r="Q313" s="3"/>
      <c r="R313" s="3"/>
      <c r="S313" s="3"/>
      <c r="T313" s="3"/>
      <c r="U313" s="3"/>
      <c r="V313" s="3"/>
      <c r="W313" s="3"/>
      <c r="X313" s="3"/>
      <c r="Y313" s="3"/>
    </row>
    <row r="314" spans="1:25" ht="57.6">
      <c r="A314" s="287">
        <v>305</v>
      </c>
      <c r="B314" s="235" t="s">
        <v>846</v>
      </c>
      <c r="C314" s="295">
        <v>44243</v>
      </c>
      <c r="D314" s="296" t="s">
        <v>847</v>
      </c>
      <c r="E314" s="297" t="s">
        <v>848</v>
      </c>
      <c r="F314" s="217"/>
      <c r="G314" s="3"/>
      <c r="H314" s="3"/>
      <c r="I314" s="3"/>
      <c r="J314" s="3"/>
      <c r="K314" s="3"/>
      <c r="L314" s="3"/>
      <c r="M314" s="3"/>
      <c r="N314" s="3"/>
      <c r="O314" s="3"/>
      <c r="P314" s="3"/>
      <c r="Q314" s="3"/>
      <c r="R314" s="3"/>
      <c r="S314" s="3"/>
      <c r="T314" s="3"/>
      <c r="U314" s="3"/>
      <c r="V314" s="3"/>
      <c r="W314" s="3"/>
      <c r="X314" s="3"/>
      <c r="Y314" s="3"/>
    </row>
    <row r="315" spans="1:25" ht="72">
      <c r="A315" s="221">
        <v>306</v>
      </c>
      <c r="B315" s="229" t="s">
        <v>849</v>
      </c>
      <c r="C315" s="284">
        <v>44244</v>
      </c>
      <c r="D315" s="296" t="s">
        <v>850</v>
      </c>
      <c r="E315" s="297" t="s">
        <v>851</v>
      </c>
      <c r="F315" s="217"/>
      <c r="G315" s="3"/>
      <c r="H315" s="3"/>
      <c r="I315" s="3"/>
      <c r="J315" s="3"/>
      <c r="K315" s="3"/>
      <c r="L315" s="3"/>
      <c r="M315" s="3"/>
      <c r="N315" s="3"/>
      <c r="O315" s="3"/>
      <c r="P315" s="3"/>
      <c r="Q315" s="3"/>
      <c r="R315" s="3"/>
      <c r="S315" s="3"/>
      <c r="T315" s="3"/>
      <c r="U315" s="3"/>
      <c r="V315" s="3"/>
      <c r="W315" s="3"/>
      <c r="X315" s="3"/>
      <c r="Y315" s="3"/>
    </row>
    <row r="316" spans="1:25" ht="43.2">
      <c r="A316" s="287">
        <v>307</v>
      </c>
      <c r="B316" s="235" t="s">
        <v>852</v>
      </c>
      <c r="C316" s="295">
        <v>44245</v>
      </c>
      <c r="D316" s="296" t="s">
        <v>853</v>
      </c>
      <c r="E316" s="297" t="s">
        <v>851</v>
      </c>
      <c r="F316" s="217"/>
      <c r="G316" s="3"/>
      <c r="H316" s="3"/>
      <c r="I316" s="3"/>
      <c r="J316" s="3"/>
      <c r="K316" s="3"/>
      <c r="L316" s="3"/>
      <c r="M316" s="3"/>
      <c r="N316" s="3"/>
      <c r="O316" s="3"/>
      <c r="P316" s="3"/>
      <c r="Q316" s="3"/>
      <c r="R316" s="3"/>
      <c r="S316" s="3"/>
      <c r="T316" s="3"/>
      <c r="U316" s="3"/>
      <c r="V316" s="3"/>
      <c r="W316" s="3"/>
      <c r="X316" s="3"/>
      <c r="Y316" s="3"/>
    </row>
    <row r="317" spans="1:25" ht="72">
      <c r="A317" s="287">
        <v>308</v>
      </c>
      <c r="B317" s="235" t="s">
        <v>854</v>
      </c>
      <c r="C317" s="295">
        <v>44257</v>
      </c>
      <c r="D317" s="296" t="s">
        <v>855</v>
      </c>
      <c r="E317" s="297" t="s">
        <v>856</v>
      </c>
      <c r="F317" s="217"/>
      <c r="G317" s="3"/>
      <c r="H317" s="3"/>
      <c r="I317" s="3"/>
      <c r="J317" s="3"/>
      <c r="K317" s="3"/>
      <c r="L317" s="3"/>
      <c r="M317" s="3"/>
      <c r="N317" s="3"/>
      <c r="O317" s="3"/>
      <c r="P317" s="3"/>
      <c r="Q317" s="3"/>
      <c r="R317" s="3"/>
      <c r="S317" s="3"/>
      <c r="T317" s="3"/>
      <c r="U317" s="3"/>
      <c r="V317" s="3"/>
      <c r="W317" s="3"/>
      <c r="X317" s="3"/>
      <c r="Y317" s="3"/>
    </row>
    <row r="318" spans="1:25" ht="57.6">
      <c r="A318" s="287">
        <v>309</v>
      </c>
      <c r="B318" s="235" t="s">
        <v>857</v>
      </c>
      <c r="C318" s="295">
        <v>44258</v>
      </c>
      <c r="D318" s="296" t="s">
        <v>858</v>
      </c>
      <c r="E318" s="291" t="s">
        <v>856</v>
      </c>
      <c r="F318" s="200"/>
      <c r="G318" s="3"/>
      <c r="H318" s="3"/>
      <c r="I318" s="3"/>
      <c r="J318" s="3"/>
      <c r="K318" s="3"/>
      <c r="L318" s="3"/>
      <c r="M318" s="3"/>
      <c r="N318" s="3"/>
      <c r="O318" s="3"/>
      <c r="P318" s="3"/>
      <c r="Q318" s="3"/>
      <c r="R318" s="3"/>
      <c r="S318" s="3"/>
      <c r="T318" s="3"/>
      <c r="U318" s="3"/>
      <c r="V318" s="3"/>
      <c r="W318" s="3"/>
      <c r="X318" s="3"/>
      <c r="Y318" s="3"/>
    </row>
    <row r="319" spans="1:25" ht="57.6">
      <c r="A319" s="287">
        <v>310</v>
      </c>
      <c r="B319" s="235" t="s">
        <v>859</v>
      </c>
      <c r="C319" s="295">
        <v>44259</v>
      </c>
      <c r="D319" s="296" t="s">
        <v>860</v>
      </c>
      <c r="E319" s="297" t="s">
        <v>861</v>
      </c>
      <c r="F319" s="217"/>
      <c r="G319" s="3"/>
      <c r="H319" s="3"/>
      <c r="I319" s="3"/>
      <c r="J319" s="3"/>
      <c r="K319" s="3"/>
      <c r="L319" s="3"/>
      <c r="M319" s="3"/>
      <c r="N319" s="3"/>
      <c r="O319" s="3"/>
      <c r="P319" s="3"/>
      <c r="Q319" s="3"/>
      <c r="R319" s="3"/>
      <c r="S319" s="3"/>
      <c r="T319" s="3"/>
      <c r="U319" s="3"/>
      <c r="V319" s="3"/>
      <c r="W319" s="3"/>
      <c r="X319" s="3"/>
      <c r="Y319" s="3"/>
    </row>
    <row r="320" spans="1:25" ht="57.6">
      <c r="A320" s="287">
        <v>311</v>
      </c>
      <c r="B320" s="235" t="s">
        <v>862</v>
      </c>
      <c r="C320" s="295">
        <v>44265</v>
      </c>
      <c r="D320" s="296" t="s">
        <v>863</v>
      </c>
      <c r="E320" s="297" t="s">
        <v>864</v>
      </c>
      <c r="F320" s="217"/>
      <c r="G320" s="3"/>
      <c r="H320" s="3"/>
      <c r="I320" s="3"/>
      <c r="J320" s="3"/>
      <c r="K320" s="3"/>
      <c r="L320" s="3"/>
      <c r="M320" s="3"/>
      <c r="N320" s="3"/>
      <c r="O320" s="3"/>
      <c r="P320" s="3"/>
      <c r="Q320" s="3"/>
      <c r="R320" s="3"/>
      <c r="S320" s="3"/>
      <c r="T320" s="3"/>
      <c r="U320" s="3"/>
      <c r="V320" s="3"/>
      <c r="W320" s="3"/>
      <c r="X320" s="3"/>
      <c r="Y320" s="3"/>
    </row>
    <row r="321" spans="1:25" ht="57.6">
      <c r="A321" s="287">
        <v>312</v>
      </c>
      <c r="B321" s="235" t="s">
        <v>865</v>
      </c>
      <c r="C321" s="295">
        <v>44267</v>
      </c>
      <c r="D321" s="296" t="s">
        <v>866</v>
      </c>
      <c r="E321" s="297" t="s">
        <v>864</v>
      </c>
      <c r="F321" s="217"/>
      <c r="G321" s="3"/>
      <c r="H321" s="3"/>
      <c r="I321" s="3"/>
      <c r="J321" s="3"/>
      <c r="K321" s="3"/>
      <c r="L321" s="3"/>
      <c r="M321" s="3"/>
      <c r="N321" s="3"/>
      <c r="O321" s="3"/>
      <c r="P321" s="3"/>
      <c r="Q321" s="3"/>
      <c r="R321" s="3"/>
      <c r="S321" s="3"/>
      <c r="T321" s="3"/>
      <c r="U321" s="3"/>
      <c r="V321" s="3"/>
      <c r="W321" s="3"/>
      <c r="X321" s="3"/>
      <c r="Y321" s="3"/>
    </row>
    <row r="322" spans="1:25" ht="43.2">
      <c r="A322" s="287">
        <v>313</v>
      </c>
      <c r="B322" s="235" t="s">
        <v>867</v>
      </c>
      <c r="C322" s="295">
        <v>44270</v>
      </c>
      <c r="D322" s="296" t="s">
        <v>868</v>
      </c>
      <c r="E322" s="291" t="s">
        <v>869</v>
      </c>
      <c r="F322" s="200"/>
      <c r="G322" s="3"/>
      <c r="H322" s="3"/>
      <c r="I322" s="3"/>
      <c r="J322" s="3"/>
      <c r="K322" s="3"/>
      <c r="L322" s="3"/>
      <c r="M322" s="3"/>
      <c r="N322" s="3"/>
      <c r="O322" s="3"/>
      <c r="P322" s="3"/>
      <c r="Q322" s="3"/>
      <c r="R322" s="3"/>
      <c r="S322" s="3"/>
      <c r="T322" s="3"/>
      <c r="U322" s="3"/>
      <c r="V322" s="3"/>
      <c r="W322" s="3"/>
      <c r="X322" s="3"/>
      <c r="Y322" s="3"/>
    </row>
    <row r="323" spans="1:25" ht="57.6">
      <c r="A323" s="287">
        <v>314</v>
      </c>
      <c r="B323" s="235" t="s">
        <v>870</v>
      </c>
      <c r="C323" s="295">
        <v>44278</v>
      </c>
      <c r="D323" s="296" t="s">
        <v>871</v>
      </c>
      <c r="E323" s="298" t="s">
        <v>872</v>
      </c>
      <c r="F323" s="200"/>
      <c r="G323" s="3"/>
      <c r="H323" s="3"/>
      <c r="I323" s="3"/>
      <c r="J323" s="3"/>
      <c r="K323" s="3"/>
      <c r="L323" s="3"/>
      <c r="M323" s="3"/>
      <c r="N323" s="3"/>
      <c r="O323" s="3"/>
      <c r="P323" s="3"/>
      <c r="Q323" s="3"/>
      <c r="R323" s="3"/>
      <c r="S323" s="3"/>
      <c r="T323" s="3"/>
      <c r="U323" s="3"/>
      <c r="V323" s="3"/>
      <c r="W323" s="3"/>
      <c r="X323" s="3"/>
      <c r="Y323" s="3"/>
    </row>
    <row r="324" spans="1:25" ht="43.2">
      <c r="A324" s="287">
        <v>315</v>
      </c>
      <c r="B324" s="235" t="s">
        <v>873</v>
      </c>
      <c r="C324" s="295">
        <v>44280</v>
      </c>
      <c r="D324" s="296" t="s">
        <v>874</v>
      </c>
      <c r="E324" s="298" t="s">
        <v>875</v>
      </c>
      <c r="F324" s="200"/>
      <c r="G324" s="3"/>
      <c r="H324" s="3"/>
      <c r="I324" s="3"/>
      <c r="J324" s="3"/>
      <c r="K324" s="3"/>
      <c r="L324" s="3"/>
      <c r="M324" s="3"/>
      <c r="N324" s="3"/>
      <c r="O324" s="3"/>
      <c r="P324" s="3"/>
      <c r="Q324" s="3"/>
      <c r="R324" s="3"/>
      <c r="S324" s="3"/>
      <c r="T324" s="3"/>
      <c r="U324" s="3"/>
      <c r="V324" s="3"/>
      <c r="W324" s="3"/>
      <c r="X324" s="3"/>
      <c r="Y324" s="3"/>
    </row>
    <row r="325" spans="1:25" ht="72">
      <c r="A325" s="287">
        <v>316</v>
      </c>
      <c r="B325" s="235" t="s">
        <v>876</v>
      </c>
      <c r="C325" s="299">
        <v>44294</v>
      </c>
      <c r="D325" s="292" t="s">
        <v>877</v>
      </c>
      <c r="E325" s="207" t="s">
        <v>878</v>
      </c>
      <c r="F325" s="200"/>
      <c r="G325" s="3"/>
      <c r="H325" s="3"/>
      <c r="I325" s="3"/>
      <c r="J325" s="3"/>
      <c r="K325" s="3"/>
      <c r="L325" s="3"/>
      <c r="M325" s="3"/>
      <c r="N325" s="3"/>
      <c r="O325" s="3"/>
      <c r="P325" s="3"/>
      <c r="Q325" s="3"/>
      <c r="R325" s="3"/>
      <c r="S325" s="3"/>
      <c r="T325" s="3"/>
      <c r="U325" s="3"/>
      <c r="V325" s="3"/>
      <c r="W325" s="3"/>
      <c r="X325" s="3"/>
      <c r="Y325" s="3"/>
    </row>
    <row r="326" spans="1:25" ht="72">
      <c r="A326" s="287">
        <v>317</v>
      </c>
      <c r="B326" s="235" t="s">
        <v>879</v>
      </c>
      <c r="C326" s="299">
        <v>44300</v>
      </c>
      <c r="D326" s="231" t="s">
        <v>880</v>
      </c>
      <c r="E326" s="207" t="s">
        <v>881</v>
      </c>
      <c r="F326" s="200"/>
      <c r="G326" s="3"/>
      <c r="H326" s="3"/>
      <c r="I326" s="3"/>
      <c r="J326" s="3"/>
      <c r="K326" s="3"/>
      <c r="L326" s="3"/>
      <c r="M326" s="3"/>
      <c r="N326" s="3"/>
      <c r="O326" s="3"/>
      <c r="P326" s="3"/>
      <c r="Q326" s="3"/>
      <c r="R326" s="3"/>
      <c r="S326" s="3"/>
      <c r="T326" s="3"/>
      <c r="U326" s="3"/>
      <c r="V326" s="3"/>
      <c r="W326" s="3"/>
      <c r="X326" s="3"/>
      <c r="Y326" s="3"/>
    </row>
    <row r="327" spans="1:25" ht="43.2">
      <c r="A327" s="287">
        <v>318</v>
      </c>
      <c r="B327" s="235" t="s">
        <v>882</v>
      </c>
      <c r="C327" s="299">
        <v>44321</v>
      </c>
      <c r="D327" s="231" t="s">
        <v>883</v>
      </c>
      <c r="E327" s="207" t="s">
        <v>884</v>
      </c>
      <c r="F327" s="200"/>
      <c r="G327" s="3"/>
      <c r="H327" s="3"/>
      <c r="I327" s="3"/>
      <c r="J327" s="3"/>
      <c r="K327" s="3"/>
      <c r="L327" s="3"/>
      <c r="M327" s="3"/>
      <c r="N327" s="3"/>
      <c r="O327" s="3"/>
      <c r="P327" s="3"/>
      <c r="Q327" s="3"/>
      <c r="R327" s="3"/>
      <c r="S327" s="3"/>
      <c r="T327" s="3"/>
      <c r="U327" s="3"/>
      <c r="V327" s="3"/>
      <c r="W327" s="3"/>
      <c r="X327" s="3"/>
      <c r="Y327" s="3"/>
    </row>
    <row r="328" spans="1:25" ht="43.2">
      <c r="A328" s="287">
        <v>319</v>
      </c>
      <c r="B328" s="235" t="s">
        <v>885</v>
      </c>
      <c r="C328" s="299">
        <v>44321</v>
      </c>
      <c r="D328" s="293" t="s">
        <v>886</v>
      </c>
      <c r="E328" s="294" t="s">
        <v>887</v>
      </c>
      <c r="F328" s="200"/>
      <c r="G328" s="3"/>
      <c r="H328" s="3"/>
      <c r="I328" s="3"/>
      <c r="J328" s="3"/>
      <c r="K328" s="3"/>
      <c r="L328" s="3"/>
      <c r="M328" s="3"/>
      <c r="N328" s="3"/>
      <c r="O328" s="3"/>
      <c r="P328" s="3"/>
      <c r="Q328" s="3"/>
      <c r="R328" s="3"/>
      <c r="S328" s="3"/>
      <c r="T328" s="3"/>
      <c r="U328" s="3"/>
      <c r="V328" s="3"/>
      <c r="W328" s="3"/>
      <c r="X328" s="3"/>
      <c r="Y328" s="3"/>
    </row>
    <row r="329" spans="1:25" ht="57.6" hidden="1">
      <c r="A329" s="199">
        <v>320</v>
      </c>
      <c r="B329" s="229" t="s">
        <v>888</v>
      </c>
      <c r="C329" s="238">
        <v>44344</v>
      </c>
      <c r="D329" s="236" t="s">
        <v>889</v>
      </c>
      <c r="E329" s="237" t="s">
        <v>890</v>
      </c>
      <c r="F329" s="217"/>
      <c r="G329" s="3"/>
      <c r="H329" s="3"/>
      <c r="I329" s="3"/>
      <c r="J329" s="3"/>
      <c r="K329" s="3"/>
      <c r="L329" s="3"/>
      <c r="M329" s="3"/>
      <c r="N329" s="3"/>
      <c r="O329" s="3"/>
      <c r="P329" s="3"/>
      <c r="Q329" s="3"/>
      <c r="R329" s="3"/>
      <c r="S329" s="3"/>
      <c r="T329" s="3"/>
      <c r="U329" s="3"/>
      <c r="V329" s="3"/>
      <c r="W329" s="3"/>
      <c r="X329" s="3"/>
      <c r="Y329" s="3"/>
    </row>
    <row r="330" spans="1:25" ht="57.6">
      <c r="A330" s="221">
        <v>321</v>
      </c>
      <c r="B330" s="32" t="s">
        <v>891</v>
      </c>
      <c r="C330" s="234">
        <v>44356</v>
      </c>
      <c r="D330" s="300" t="s">
        <v>892</v>
      </c>
      <c r="E330" s="301" t="s">
        <v>21</v>
      </c>
      <c r="F330" s="200"/>
      <c r="G330" s="3"/>
      <c r="H330" s="3"/>
      <c r="I330" s="3"/>
      <c r="J330" s="3"/>
      <c r="K330" s="3"/>
      <c r="L330" s="3"/>
      <c r="M330" s="3"/>
      <c r="N330" s="3"/>
      <c r="O330" s="3"/>
      <c r="P330" s="3"/>
      <c r="Q330" s="3"/>
      <c r="R330" s="3"/>
      <c r="S330" s="3"/>
      <c r="T330" s="3"/>
      <c r="U330" s="3"/>
      <c r="V330" s="3"/>
      <c r="W330" s="3"/>
      <c r="X330" s="3"/>
      <c r="Y330" s="3"/>
    </row>
    <row r="331" spans="1:25" ht="57.6">
      <c r="A331" s="221">
        <v>322</v>
      </c>
      <c r="B331" s="204" t="s">
        <v>893</v>
      </c>
      <c r="C331" s="234">
        <v>44364</v>
      </c>
      <c r="D331" s="231" t="s">
        <v>894</v>
      </c>
      <c r="E331" s="207" t="s">
        <v>895</v>
      </c>
      <c r="F331" s="200"/>
      <c r="G331" s="3"/>
      <c r="H331" s="3"/>
      <c r="I331" s="3"/>
      <c r="J331" s="3"/>
      <c r="K331" s="3"/>
      <c r="L331" s="3"/>
      <c r="M331" s="3"/>
      <c r="N331" s="3"/>
      <c r="O331" s="3"/>
      <c r="P331" s="3"/>
      <c r="Q331" s="3"/>
      <c r="R331" s="3"/>
      <c r="S331" s="3"/>
      <c r="T331" s="3"/>
      <c r="U331" s="3"/>
      <c r="V331" s="3"/>
      <c r="W331" s="3"/>
      <c r="X331" s="3"/>
      <c r="Y331" s="3"/>
    </row>
    <row r="332" spans="1:25" ht="57.6">
      <c r="A332" s="221">
        <v>323</v>
      </c>
      <c r="B332" s="204" t="s">
        <v>896</v>
      </c>
      <c r="C332" s="234">
        <v>44368</v>
      </c>
      <c r="D332" s="231" t="s">
        <v>897</v>
      </c>
      <c r="E332" s="207" t="s">
        <v>898</v>
      </c>
      <c r="F332" s="200"/>
      <c r="G332" s="3"/>
      <c r="H332" s="3"/>
      <c r="I332" s="3"/>
      <c r="J332" s="3"/>
      <c r="K332" s="3"/>
      <c r="L332" s="3"/>
      <c r="M332" s="3"/>
      <c r="N332" s="3"/>
      <c r="O332" s="3"/>
      <c r="P332" s="3"/>
      <c r="Q332" s="3"/>
      <c r="R332" s="3"/>
      <c r="S332" s="3"/>
      <c r="T332" s="3"/>
      <c r="U332" s="3"/>
      <c r="V332" s="3"/>
      <c r="W332" s="3"/>
      <c r="X332" s="3"/>
      <c r="Y332" s="3"/>
    </row>
    <row r="333" spans="1:25" ht="57.6">
      <c r="A333" s="221">
        <v>324</v>
      </c>
      <c r="B333" s="233" t="s">
        <v>899</v>
      </c>
      <c r="C333" s="234">
        <v>44370</v>
      </c>
      <c r="D333" s="231" t="s">
        <v>900</v>
      </c>
      <c r="E333" s="207" t="s">
        <v>901</v>
      </c>
      <c r="F333" s="200"/>
      <c r="G333" s="3"/>
      <c r="H333" s="3"/>
      <c r="I333" s="3"/>
      <c r="J333" s="3"/>
      <c r="K333" s="3"/>
      <c r="L333" s="3"/>
      <c r="M333" s="3"/>
      <c r="N333" s="3"/>
      <c r="O333" s="3"/>
      <c r="P333" s="3"/>
      <c r="Q333" s="3"/>
      <c r="R333" s="3"/>
      <c r="S333" s="3"/>
      <c r="T333" s="3"/>
      <c r="U333" s="3"/>
      <c r="V333" s="3"/>
      <c r="W333" s="3"/>
      <c r="X333" s="3"/>
      <c r="Y333" s="3"/>
    </row>
    <row r="334" spans="1:25" ht="43.2">
      <c r="A334" s="221">
        <v>325</v>
      </c>
      <c r="B334" s="32" t="s">
        <v>902</v>
      </c>
      <c r="C334" s="234">
        <v>44385</v>
      </c>
      <c r="D334" s="231" t="s">
        <v>903</v>
      </c>
      <c r="E334" s="221" t="s">
        <v>21</v>
      </c>
      <c r="F334" s="200"/>
      <c r="G334" s="3"/>
      <c r="H334" s="3"/>
      <c r="I334" s="3"/>
      <c r="J334" s="3"/>
      <c r="K334" s="3"/>
      <c r="L334" s="3"/>
      <c r="M334" s="3"/>
      <c r="N334" s="3"/>
      <c r="O334" s="3"/>
      <c r="P334" s="3"/>
      <c r="Q334" s="3"/>
      <c r="R334" s="3"/>
      <c r="S334" s="3"/>
      <c r="T334" s="3"/>
      <c r="U334" s="3"/>
      <c r="V334" s="3"/>
      <c r="W334" s="3"/>
      <c r="X334" s="3"/>
      <c r="Y334" s="3"/>
    </row>
    <row r="335" spans="1:25" ht="43.2">
      <c r="A335" s="221">
        <v>326</v>
      </c>
      <c r="B335" s="32" t="s">
        <v>904</v>
      </c>
      <c r="C335" s="234">
        <v>44386</v>
      </c>
      <c r="D335" s="231" t="s">
        <v>905</v>
      </c>
      <c r="E335" s="207" t="s">
        <v>906</v>
      </c>
      <c r="F335" s="200"/>
      <c r="G335" s="3"/>
      <c r="H335" s="3"/>
      <c r="I335" s="3"/>
      <c r="J335" s="3"/>
      <c r="K335" s="3"/>
      <c r="L335" s="3"/>
      <c r="M335" s="3"/>
      <c r="N335" s="3"/>
      <c r="O335" s="3"/>
      <c r="P335" s="3"/>
      <c r="Q335" s="3"/>
      <c r="R335" s="3"/>
      <c r="S335" s="3"/>
      <c r="T335" s="3"/>
      <c r="U335" s="3"/>
      <c r="V335" s="3"/>
      <c r="W335" s="3"/>
      <c r="X335" s="3"/>
      <c r="Y335" s="3"/>
    </row>
    <row r="336" spans="1:25" ht="72">
      <c r="A336" s="221">
        <v>327</v>
      </c>
      <c r="B336" s="32" t="s">
        <v>907</v>
      </c>
      <c r="C336" s="234">
        <v>44413</v>
      </c>
      <c r="D336" s="231" t="s">
        <v>908</v>
      </c>
      <c r="E336" s="207" t="s">
        <v>909</v>
      </c>
      <c r="F336" s="200"/>
      <c r="G336" s="3"/>
      <c r="H336" s="3"/>
      <c r="I336" s="3"/>
      <c r="J336" s="3"/>
      <c r="K336" s="3"/>
      <c r="L336" s="3"/>
      <c r="M336" s="3"/>
      <c r="N336" s="3"/>
      <c r="O336" s="3"/>
      <c r="P336" s="3"/>
      <c r="Q336" s="3"/>
      <c r="R336" s="3"/>
      <c r="S336" s="3"/>
      <c r="T336" s="3"/>
      <c r="U336" s="3"/>
      <c r="V336" s="3"/>
      <c r="W336" s="3"/>
      <c r="X336" s="3"/>
      <c r="Y336" s="3"/>
    </row>
    <row r="337" spans="1:25" ht="43.2">
      <c r="A337" s="221">
        <v>328</v>
      </c>
      <c r="B337" s="204" t="s">
        <v>910</v>
      </c>
      <c r="C337" s="234">
        <f>DATE(2021,9, 14)</f>
        <v>44453</v>
      </c>
      <c r="D337" s="231" t="s">
        <v>911</v>
      </c>
      <c r="E337" s="32" t="s">
        <v>21</v>
      </c>
      <c r="F337" s="200"/>
      <c r="G337" s="3"/>
      <c r="H337" s="3"/>
      <c r="I337" s="3"/>
      <c r="J337" s="3"/>
      <c r="K337" s="3"/>
      <c r="L337" s="3"/>
      <c r="M337" s="3"/>
      <c r="N337" s="3"/>
      <c r="O337" s="3"/>
      <c r="P337" s="3"/>
      <c r="Q337" s="3"/>
      <c r="R337" s="3"/>
      <c r="S337" s="3"/>
      <c r="T337" s="3"/>
      <c r="U337" s="3"/>
      <c r="V337" s="3"/>
      <c r="W337" s="3"/>
      <c r="X337" s="3"/>
      <c r="Y337" s="3"/>
    </row>
    <row r="338" spans="1:25" ht="57.6">
      <c r="A338" s="221">
        <v>330</v>
      </c>
      <c r="B338" s="204" t="s">
        <v>913</v>
      </c>
      <c r="C338" s="234">
        <v>44476</v>
      </c>
      <c r="D338" s="231" t="s">
        <v>914</v>
      </c>
      <c r="E338" s="207" t="s">
        <v>915</v>
      </c>
      <c r="F338" s="200"/>
      <c r="G338" s="3"/>
      <c r="H338" s="3"/>
      <c r="I338" s="3"/>
      <c r="J338" s="3"/>
      <c r="K338" s="3"/>
      <c r="L338" s="3"/>
      <c r="M338" s="3"/>
      <c r="N338" s="3"/>
      <c r="O338" s="3"/>
      <c r="P338" s="3"/>
      <c r="Q338" s="3"/>
      <c r="R338" s="3"/>
      <c r="S338" s="3"/>
      <c r="T338" s="3"/>
      <c r="U338" s="3"/>
      <c r="V338" s="3"/>
      <c r="W338" s="3"/>
      <c r="X338" s="3"/>
      <c r="Y338" s="3"/>
    </row>
    <row r="339" spans="1:25" ht="57.6">
      <c r="A339" s="221">
        <v>332</v>
      </c>
      <c r="B339" s="204" t="s">
        <v>916</v>
      </c>
      <c r="C339" s="234">
        <v>44482</v>
      </c>
      <c r="D339" s="231" t="s">
        <v>917</v>
      </c>
      <c r="E339" s="207" t="s">
        <v>918</v>
      </c>
      <c r="F339" s="200"/>
      <c r="G339" s="3"/>
      <c r="H339" s="3"/>
      <c r="I339" s="3"/>
      <c r="J339" s="3"/>
      <c r="K339" s="3"/>
      <c r="L339" s="3"/>
      <c r="M339" s="3"/>
      <c r="N339" s="3"/>
      <c r="O339" s="3"/>
      <c r="P339" s="3"/>
      <c r="Q339" s="3"/>
      <c r="R339" s="3"/>
      <c r="S339" s="3"/>
      <c r="T339" s="3"/>
      <c r="U339" s="3"/>
      <c r="V339" s="3"/>
      <c r="W339" s="3"/>
      <c r="X339" s="3"/>
      <c r="Y339" s="3"/>
    </row>
    <row r="340" spans="1:25" ht="72">
      <c r="A340" s="221">
        <v>333</v>
      </c>
      <c r="B340" s="204" t="s">
        <v>919</v>
      </c>
      <c r="C340" s="285">
        <v>44485</v>
      </c>
      <c r="D340" s="293" t="s">
        <v>920</v>
      </c>
      <c r="E340" s="294" t="s">
        <v>921</v>
      </c>
      <c r="F340" s="200"/>
      <c r="G340" s="3"/>
      <c r="H340" s="3"/>
      <c r="I340" s="3"/>
      <c r="J340" s="3"/>
      <c r="K340" s="3"/>
      <c r="L340" s="3"/>
      <c r="M340" s="3"/>
      <c r="N340" s="3"/>
      <c r="O340" s="3"/>
      <c r="P340" s="3"/>
      <c r="Q340" s="3"/>
      <c r="R340" s="3"/>
      <c r="S340" s="3"/>
      <c r="T340" s="3"/>
      <c r="U340" s="3"/>
      <c r="V340" s="3"/>
      <c r="W340" s="3"/>
      <c r="X340" s="3"/>
      <c r="Y340" s="3"/>
    </row>
    <row r="341" spans="1:25" ht="28.8">
      <c r="A341" s="221">
        <v>334</v>
      </c>
      <c r="B341" s="241" t="s">
        <v>922</v>
      </c>
      <c r="C341" s="302">
        <v>44502</v>
      </c>
      <c r="D341" s="280" t="s">
        <v>923</v>
      </c>
      <c r="E341" s="303" t="s">
        <v>924</v>
      </c>
      <c r="F341" s="217"/>
      <c r="G341" s="3"/>
      <c r="H341" s="3"/>
      <c r="I341" s="3"/>
      <c r="J341" s="3"/>
      <c r="K341" s="3"/>
      <c r="L341" s="3"/>
      <c r="M341" s="3"/>
      <c r="N341" s="3"/>
      <c r="O341" s="3"/>
      <c r="P341" s="3"/>
      <c r="Q341" s="3"/>
      <c r="R341" s="3"/>
      <c r="S341" s="3"/>
      <c r="T341" s="3"/>
      <c r="U341" s="3"/>
      <c r="V341" s="3"/>
      <c r="W341" s="3"/>
      <c r="X341" s="3"/>
      <c r="Y341" s="3"/>
    </row>
    <row r="342" spans="1:25" ht="72">
      <c r="A342" s="221">
        <v>335</v>
      </c>
      <c r="B342" s="241" t="s">
        <v>925</v>
      </c>
      <c r="C342" s="304">
        <v>44522</v>
      </c>
      <c r="D342" s="305" t="s">
        <v>926</v>
      </c>
      <c r="E342" s="92" t="s">
        <v>927</v>
      </c>
      <c r="F342" s="217"/>
      <c r="G342" s="3"/>
      <c r="H342" s="3"/>
      <c r="I342" s="3"/>
      <c r="J342" s="3"/>
      <c r="K342" s="3"/>
      <c r="L342" s="3"/>
      <c r="M342" s="3"/>
      <c r="N342" s="3"/>
      <c r="O342" s="3"/>
      <c r="P342" s="3"/>
      <c r="Q342" s="3"/>
      <c r="R342" s="3"/>
      <c r="S342" s="3"/>
      <c r="T342" s="3"/>
      <c r="U342" s="3"/>
      <c r="V342" s="3"/>
      <c r="W342" s="3"/>
      <c r="X342" s="3"/>
      <c r="Y342" s="3"/>
    </row>
    <row r="343" spans="1:25" ht="57.6">
      <c r="A343" s="282">
        <v>336</v>
      </c>
      <c r="B343" s="242" t="s">
        <v>928</v>
      </c>
      <c r="C343" s="285">
        <v>44523</v>
      </c>
      <c r="D343" s="306" t="s">
        <v>929</v>
      </c>
      <c r="E343" s="307" t="s">
        <v>930</v>
      </c>
      <c r="F343" s="200"/>
      <c r="G343" s="3"/>
      <c r="H343" s="3"/>
      <c r="I343" s="3"/>
      <c r="J343" s="3"/>
      <c r="K343" s="3"/>
      <c r="L343" s="3"/>
      <c r="M343" s="3"/>
      <c r="N343" s="3"/>
      <c r="O343" s="3"/>
      <c r="P343" s="3"/>
      <c r="Q343" s="3"/>
      <c r="R343" s="3"/>
      <c r="S343" s="3"/>
      <c r="T343" s="3"/>
      <c r="U343" s="3"/>
      <c r="V343" s="3"/>
      <c r="W343" s="3"/>
      <c r="X343" s="3"/>
      <c r="Y343" s="3"/>
    </row>
    <row r="344" spans="1:25" ht="57.6">
      <c r="A344" s="280">
        <v>337</v>
      </c>
      <c r="B344" s="92" t="s">
        <v>899</v>
      </c>
      <c r="C344" s="256">
        <v>44572</v>
      </c>
      <c r="D344" s="280" t="s">
        <v>931</v>
      </c>
      <c r="E344" s="92" t="s">
        <v>932</v>
      </c>
      <c r="F344" s="217"/>
      <c r="G344" s="3"/>
      <c r="H344" s="3"/>
      <c r="I344" s="3"/>
      <c r="J344" s="3"/>
      <c r="K344" s="3"/>
      <c r="L344" s="3"/>
      <c r="M344" s="3"/>
      <c r="N344" s="3"/>
      <c r="O344" s="3"/>
      <c r="P344" s="3"/>
      <c r="Q344" s="3"/>
      <c r="R344" s="3"/>
      <c r="S344" s="3"/>
      <c r="T344" s="3"/>
      <c r="U344" s="3"/>
      <c r="V344" s="3"/>
      <c r="W344" s="3"/>
      <c r="X344" s="3"/>
      <c r="Y344" s="3"/>
    </row>
    <row r="345" spans="1:25" ht="72">
      <c r="A345" s="282">
        <v>338</v>
      </c>
      <c r="B345" s="245" t="s">
        <v>933</v>
      </c>
      <c r="C345" s="256">
        <v>44628</v>
      </c>
      <c r="D345" s="301" t="s">
        <v>934</v>
      </c>
      <c r="E345" s="245" t="s">
        <v>21</v>
      </c>
      <c r="F345" s="200"/>
      <c r="G345" s="3"/>
      <c r="H345" s="3"/>
      <c r="I345" s="3"/>
      <c r="J345" s="3"/>
      <c r="K345" s="3"/>
      <c r="L345" s="3"/>
      <c r="M345" s="3"/>
      <c r="N345" s="3"/>
      <c r="O345" s="3"/>
      <c r="P345" s="3"/>
      <c r="Q345" s="3"/>
      <c r="R345" s="3"/>
      <c r="S345" s="3"/>
      <c r="T345" s="3"/>
      <c r="U345" s="3"/>
      <c r="V345" s="3"/>
      <c r="W345" s="3"/>
      <c r="X345" s="3"/>
      <c r="Y345" s="3"/>
    </row>
    <row r="346" spans="1:25" ht="57.6">
      <c r="A346" s="280">
        <v>339</v>
      </c>
      <c r="B346" s="246" t="s">
        <v>935</v>
      </c>
      <c r="C346" s="256">
        <v>44636</v>
      </c>
      <c r="D346" s="221" t="s">
        <v>936</v>
      </c>
      <c r="E346" s="246" t="s">
        <v>937</v>
      </c>
      <c r="F346" s="200"/>
      <c r="G346" s="3"/>
      <c r="H346" s="3"/>
      <c r="I346" s="3"/>
      <c r="J346" s="3"/>
      <c r="K346" s="3"/>
      <c r="L346" s="3"/>
      <c r="M346" s="3"/>
      <c r="N346" s="3"/>
      <c r="O346" s="3"/>
      <c r="P346" s="3"/>
      <c r="Q346" s="3"/>
      <c r="R346" s="3"/>
      <c r="S346" s="3"/>
      <c r="T346" s="3"/>
      <c r="U346" s="3"/>
      <c r="V346" s="3"/>
      <c r="W346" s="3"/>
      <c r="X346" s="3"/>
      <c r="Y346" s="3"/>
    </row>
    <row r="347" spans="1:25" ht="86.4">
      <c r="A347" s="221">
        <v>340</v>
      </c>
      <c r="B347" s="246" t="s">
        <v>938</v>
      </c>
      <c r="C347" s="256">
        <v>44677</v>
      </c>
      <c r="D347" s="221" t="s">
        <v>939</v>
      </c>
      <c r="E347" s="246" t="s">
        <v>940</v>
      </c>
      <c r="F347" s="200"/>
      <c r="G347" s="3"/>
      <c r="H347" s="3"/>
      <c r="I347" s="3"/>
      <c r="J347" s="3"/>
      <c r="K347" s="3"/>
      <c r="L347" s="3"/>
      <c r="M347" s="3"/>
      <c r="N347" s="3"/>
      <c r="O347" s="3"/>
      <c r="P347" s="3"/>
      <c r="Q347" s="3"/>
      <c r="R347" s="3"/>
      <c r="S347" s="3"/>
      <c r="T347" s="3"/>
      <c r="U347" s="3"/>
      <c r="V347" s="3"/>
      <c r="W347" s="3"/>
      <c r="X347" s="3"/>
      <c r="Y347" s="3"/>
    </row>
    <row r="348" spans="1:25" ht="43.2">
      <c r="A348" s="221">
        <v>341</v>
      </c>
      <c r="B348" s="246" t="s">
        <v>941</v>
      </c>
      <c r="C348" s="256">
        <v>44697</v>
      </c>
      <c r="D348" s="221" t="s">
        <v>942</v>
      </c>
      <c r="E348" s="246" t="s">
        <v>943</v>
      </c>
      <c r="F348" s="200"/>
      <c r="G348" s="3"/>
      <c r="H348" s="3"/>
      <c r="I348" s="3"/>
      <c r="J348" s="3"/>
      <c r="K348" s="3"/>
      <c r="L348" s="3"/>
      <c r="M348" s="3"/>
      <c r="N348" s="3"/>
      <c r="O348" s="3"/>
      <c r="P348" s="3"/>
      <c r="Q348" s="3"/>
      <c r="R348" s="3"/>
      <c r="S348" s="3"/>
      <c r="T348" s="3"/>
      <c r="U348" s="3"/>
      <c r="V348" s="3"/>
      <c r="W348" s="3"/>
      <c r="X348" s="3"/>
      <c r="Y348" s="3"/>
    </row>
    <row r="349" spans="1:25" ht="57.6">
      <c r="A349" s="221">
        <v>342</v>
      </c>
      <c r="B349" s="246" t="s">
        <v>944</v>
      </c>
      <c r="C349" s="256">
        <v>44697</v>
      </c>
      <c r="D349" s="221" t="s">
        <v>945</v>
      </c>
      <c r="E349" s="246" t="s">
        <v>946</v>
      </c>
      <c r="F349" s="200"/>
      <c r="G349" s="3"/>
      <c r="H349" s="3"/>
      <c r="I349" s="3"/>
      <c r="J349" s="3"/>
      <c r="K349" s="3"/>
      <c r="L349" s="3"/>
      <c r="M349" s="3"/>
      <c r="N349" s="3"/>
      <c r="O349" s="3"/>
      <c r="P349" s="3"/>
      <c r="Q349" s="3"/>
      <c r="R349" s="3"/>
      <c r="S349" s="3"/>
      <c r="T349" s="3"/>
      <c r="U349" s="3"/>
      <c r="V349" s="3"/>
      <c r="W349" s="3"/>
      <c r="X349" s="3"/>
      <c r="Y349" s="3"/>
    </row>
    <row r="350" spans="1:25" ht="57.6" hidden="1">
      <c r="A350" s="199">
        <v>343</v>
      </c>
      <c r="B350" s="246" t="s">
        <v>947</v>
      </c>
      <c r="C350" s="248">
        <v>44767</v>
      </c>
      <c r="D350" s="249" t="s">
        <v>948</v>
      </c>
      <c r="E350" s="247" t="s">
        <v>949</v>
      </c>
      <c r="F350" s="200"/>
      <c r="G350" s="3"/>
      <c r="H350" s="3"/>
      <c r="I350" s="3"/>
      <c r="J350" s="3"/>
      <c r="K350" s="3"/>
      <c r="L350" s="3"/>
      <c r="M350" s="3"/>
      <c r="N350" s="3"/>
      <c r="O350" s="3"/>
      <c r="P350" s="3"/>
      <c r="Q350" s="3"/>
      <c r="R350" s="3"/>
      <c r="S350" s="3"/>
      <c r="T350" s="3"/>
      <c r="U350" s="3"/>
      <c r="V350" s="3"/>
      <c r="W350" s="3"/>
      <c r="X350" s="3"/>
      <c r="Y350" s="3"/>
    </row>
    <row r="351" spans="1:25" ht="57.6" hidden="1">
      <c r="A351" s="199">
        <v>344</v>
      </c>
      <c r="B351" s="246" t="s">
        <v>950</v>
      </c>
      <c r="C351" s="248">
        <v>44768</v>
      </c>
      <c r="D351" s="249" t="s">
        <v>951</v>
      </c>
      <c r="E351" s="247" t="s">
        <v>952</v>
      </c>
      <c r="F351" s="200"/>
      <c r="G351" s="3"/>
      <c r="H351" s="3"/>
      <c r="I351" s="3"/>
      <c r="J351" s="3"/>
      <c r="K351" s="3"/>
      <c r="L351" s="3"/>
      <c r="M351" s="3"/>
      <c r="N351" s="3"/>
      <c r="O351" s="3"/>
      <c r="P351" s="3"/>
      <c r="Q351" s="3"/>
      <c r="R351" s="3"/>
      <c r="S351" s="3"/>
      <c r="T351" s="3"/>
      <c r="U351" s="3"/>
      <c r="V351" s="3"/>
      <c r="W351" s="3"/>
      <c r="X351" s="3"/>
      <c r="Y351" s="3"/>
    </row>
    <row r="352" spans="1:25" ht="57.6" hidden="1">
      <c r="A352" s="199">
        <v>345</v>
      </c>
      <c r="B352" s="246" t="s">
        <v>953</v>
      </c>
      <c r="C352" s="248">
        <v>44771</v>
      </c>
      <c r="D352" s="200" t="s">
        <v>954</v>
      </c>
      <c r="E352" s="247" t="s">
        <v>21</v>
      </c>
      <c r="F352" s="200"/>
      <c r="G352" s="3"/>
      <c r="H352" s="3"/>
      <c r="I352" s="3"/>
      <c r="J352" s="3"/>
      <c r="K352" s="3"/>
      <c r="L352" s="3"/>
      <c r="M352" s="3"/>
      <c r="N352" s="3"/>
      <c r="O352" s="3"/>
      <c r="P352" s="3"/>
      <c r="Q352" s="3"/>
      <c r="R352" s="3"/>
      <c r="S352" s="3"/>
      <c r="T352" s="3"/>
      <c r="U352" s="3"/>
      <c r="V352" s="3"/>
      <c r="W352" s="3"/>
      <c r="X352" s="3"/>
      <c r="Y352" s="3"/>
    </row>
    <row r="353" spans="1:25" ht="43.2" hidden="1">
      <c r="A353" s="199">
        <v>346</v>
      </c>
      <c r="B353" s="246" t="s">
        <v>955</v>
      </c>
      <c r="C353" s="248">
        <v>44784</v>
      </c>
      <c r="D353" s="249" t="s">
        <v>956</v>
      </c>
      <c r="E353" s="247" t="s">
        <v>21</v>
      </c>
      <c r="F353" s="200"/>
      <c r="G353" s="3"/>
      <c r="H353" s="3"/>
      <c r="I353" s="3"/>
      <c r="J353" s="3"/>
      <c r="K353" s="3"/>
      <c r="L353" s="3"/>
      <c r="M353" s="3"/>
      <c r="N353" s="3"/>
      <c r="O353" s="3"/>
      <c r="P353" s="3"/>
      <c r="Q353" s="3"/>
      <c r="R353" s="3"/>
      <c r="S353" s="3"/>
      <c r="T353" s="3"/>
      <c r="U353" s="3"/>
      <c r="V353" s="3"/>
      <c r="W353" s="3"/>
      <c r="X353" s="3"/>
      <c r="Y353" s="3"/>
    </row>
    <row r="354" spans="1:25" ht="43.2" hidden="1">
      <c r="A354" s="199">
        <v>347</v>
      </c>
      <c r="B354" s="246" t="s">
        <v>957</v>
      </c>
      <c r="C354" s="248">
        <v>44785</v>
      </c>
      <c r="D354" s="200" t="s">
        <v>958</v>
      </c>
      <c r="E354" s="247" t="s">
        <v>21</v>
      </c>
      <c r="F354" s="200"/>
      <c r="G354" s="3"/>
      <c r="H354" s="3"/>
      <c r="I354" s="3"/>
      <c r="J354" s="3"/>
      <c r="K354" s="3"/>
      <c r="L354" s="3"/>
      <c r="M354" s="3"/>
      <c r="N354" s="3"/>
      <c r="O354" s="3"/>
      <c r="P354" s="3"/>
      <c r="Q354" s="3"/>
      <c r="R354" s="3"/>
      <c r="S354" s="3"/>
      <c r="T354" s="3"/>
      <c r="U354" s="3"/>
      <c r="V354" s="3"/>
      <c r="W354" s="3"/>
      <c r="X354" s="3"/>
      <c r="Y354" s="3"/>
    </row>
    <row r="355" spans="1:25" ht="57.6" hidden="1">
      <c r="A355" s="199">
        <v>348</v>
      </c>
      <c r="B355" s="246" t="s">
        <v>959</v>
      </c>
      <c r="C355" s="248">
        <v>44804</v>
      </c>
      <c r="D355" s="249" t="s">
        <v>960</v>
      </c>
      <c r="E355" s="247" t="s">
        <v>961</v>
      </c>
      <c r="F355" s="200"/>
      <c r="G355" s="3"/>
      <c r="H355" s="3"/>
      <c r="I355" s="3"/>
      <c r="J355" s="3"/>
      <c r="K355" s="3"/>
      <c r="L355" s="3"/>
      <c r="M355" s="3"/>
      <c r="N355" s="3"/>
      <c r="O355" s="3"/>
      <c r="P355" s="3"/>
      <c r="Q355" s="3"/>
      <c r="R355" s="3"/>
      <c r="S355" s="3"/>
      <c r="T355" s="3"/>
      <c r="U355" s="3"/>
      <c r="V355" s="3"/>
      <c r="W355" s="3"/>
      <c r="X355" s="3"/>
      <c r="Y355" s="3"/>
    </row>
    <row r="356" spans="1:25" ht="72" hidden="1">
      <c r="A356" s="199">
        <v>349</v>
      </c>
      <c r="B356" s="246" t="s">
        <v>962</v>
      </c>
      <c r="C356" s="248">
        <v>44824</v>
      </c>
      <c r="D356" s="200" t="s">
        <v>963</v>
      </c>
      <c r="E356" s="247" t="s">
        <v>964</v>
      </c>
      <c r="F356" s="200"/>
      <c r="G356" s="3"/>
      <c r="H356" s="3"/>
      <c r="I356" s="3"/>
      <c r="J356" s="3"/>
      <c r="K356" s="3"/>
      <c r="L356" s="3"/>
      <c r="M356" s="3"/>
      <c r="N356" s="3"/>
      <c r="O356" s="3"/>
      <c r="P356" s="3"/>
      <c r="Q356" s="3"/>
      <c r="R356" s="3"/>
      <c r="S356" s="3"/>
      <c r="T356" s="3"/>
      <c r="U356" s="3"/>
      <c r="V356" s="3"/>
      <c r="W356" s="3"/>
      <c r="X356" s="3"/>
      <c r="Y356" s="3"/>
    </row>
    <row r="357" spans="1:25" ht="86.4" hidden="1">
      <c r="A357" s="199">
        <v>350</v>
      </c>
      <c r="B357" s="246" t="s">
        <v>965</v>
      </c>
      <c r="C357" s="248">
        <v>44824</v>
      </c>
      <c r="D357" s="200" t="s">
        <v>966</v>
      </c>
      <c r="E357" s="247" t="s">
        <v>967</v>
      </c>
      <c r="F357" s="200"/>
      <c r="G357" s="3"/>
      <c r="H357" s="3"/>
      <c r="I357" s="3"/>
      <c r="J357" s="3"/>
      <c r="K357" s="3"/>
      <c r="L357" s="3"/>
      <c r="M357" s="3"/>
      <c r="N357" s="3"/>
      <c r="O357" s="3"/>
      <c r="P357" s="3"/>
      <c r="Q357" s="3"/>
      <c r="R357" s="3"/>
      <c r="S357" s="3"/>
      <c r="T357" s="3"/>
      <c r="U357" s="3"/>
      <c r="V357" s="3"/>
      <c r="W357" s="3"/>
      <c r="X357" s="3"/>
      <c r="Y357" s="3"/>
    </row>
    <row r="358" spans="1:25" ht="57.6" hidden="1">
      <c r="A358" s="199">
        <v>351</v>
      </c>
      <c r="B358" s="246" t="s">
        <v>968</v>
      </c>
      <c r="C358" s="248">
        <v>44826</v>
      </c>
      <c r="D358" s="200" t="s">
        <v>969</v>
      </c>
      <c r="E358" s="247" t="s">
        <v>970</v>
      </c>
      <c r="F358" s="200"/>
      <c r="G358" s="3"/>
      <c r="H358" s="3"/>
      <c r="I358" s="3"/>
      <c r="J358" s="3"/>
      <c r="K358" s="3"/>
      <c r="L358" s="3"/>
      <c r="M358" s="3"/>
      <c r="N358" s="3"/>
      <c r="O358" s="3"/>
      <c r="P358" s="3"/>
      <c r="Q358" s="3"/>
      <c r="R358" s="3"/>
      <c r="S358" s="3"/>
      <c r="T358" s="3"/>
      <c r="U358" s="3"/>
      <c r="V358" s="3"/>
      <c r="W358" s="3"/>
      <c r="X358" s="3"/>
      <c r="Y358" s="3"/>
    </row>
    <row r="359" spans="1:25" ht="57.6" hidden="1">
      <c r="A359" s="199">
        <v>352</v>
      </c>
      <c r="B359" s="246" t="s">
        <v>971</v>
      </c>
      <c r="C359" s="248">
        <v>44866</v>
      </c>
      <c r="D359" s="200" t="s">
        <v>972</v>
      </c>
      <c r="E359" s="247" t="s">
        <v>973</v>
      </c>
      <c r="F359" s="200"/>
      <c r="G359" s="3"/>
      <c r="H359" s="3"/>
      <c r="I359" s="3"/>
      <c r="J359" s="3"/>
      <c r="K359" s="3"/>
      <c r="L359" s="3"/>
      <c r="M359" s="3"/>
      <c r="N359" s="3"/>
      <c r="O359" s="3"/>
      <c r="P359" s="3"/>
      <c r="Q359" s="3"/>
      <c r="R359" s="3"/>
      <c r="S359" s="3"/>
      <c r="T359" s="3"/>
      <c r="U359" s="3"/>
      <c r="V359" s="3"/>
      <c r="W359" s="3"/>
      <c r="X359" s="3"/>
      <c r="Y359" s="3"/>
    </row>
    <row r="360" spans="1:25" ht="72" hidden="1">
      <c r="A360" s="199">
        <v>353</v>
      </c>
      <c r="B360" s="246" t="s">
        <v>974</v>
      </c>
      <c r="C360" s="248">
        <v>44876</v>
      </c>
      <c r="D360" s="200" t="s">
        <v>975</v>
      </c>
      <c r="E360" s="200" t="s">
        <v>21</v>
      </c>
      <c r="F360" s="200"/>
      <c r="G360" s="3"/>
      <c r="H360" s="3"/>
      <c r="I360" s="3"/>
      <c r="J360" s="3"/>
      <c r="K360" s="3"/>
      <c r="L360" s="3"/>
      <c r="M360" s="3"/>
      <c r="N360" s="3"/>
      <c r="O360" s="3"/>
      <c r="P360" s="3"/>
      <c r="Q360" s="3"/>
      <c r="R360" s="3"/>
      <c r="S360" s="3"/>
      <c r="T360" s="3"/>
      <c r="U360" s="3"/>
      <c r="V360" s="3"/>
      <c r="W360" s="3"/>
      <c r="X360" s="3"/>
      <c r="Y360" s="3"/>
    </row>
    <row r="361" spans="1:25" ht="57.6" hidden="1">
      <c r="A361" s="199">
        <v>354</v>
      </c>
      <c r="B361" s="246" t="s">
        <v>976</v>
      </c>
      <c r="C361" s="248">
        <v>44876</v>
      </c>
      <c r="D361" s="200" t="s">
        <v>977</v>
      </c>
      <c r="E361" s="200" t="s">
        <v>21</v>
      </c>
      <c r="F361" s="200"/>
      <c r="G361" s="3"/>
      <c r="H361" s="3"/>
      <c r="I361" s="3"/>
      <c r="J361" s="3"/>
      <c r="K361" s="3"/>
      <c r="L361" s="3"/>
      <c r="M361" s="3"/>
      <c r="N361" s="3"/>
      <c r="O361" s="3"/>
      <c r="P361" s="3"/>
      <c r="Q361" s="3"/>
      <c r="R361" s="3"/>
      <c r="S361" s="3"/>
      <c r="T361" s="3"/>
      <c r="U361" s="3"/>
      <c r="V361" s="3"/>
      <c r="W361" s="3"/>
      <c r="X361" s="3"/>
      <c r="Y361" s="3"/>
    </row>
    <row r="362" spans="1:25" ht="57.6" hidden="1">
      <c r="A362" s="199">
        <v>355</v>
      </c>
      <c r="B362" s="246" t="s">
        <v>978</v>
      </c>
      <c r="C362" s="248">
        <v>44894</v>
      </c>
      <c r="D362" s="200" t="s">
        <v>979</v>
      </c>
      <c r="E362" s="247" t="s">
        <v>980</v>
      </c>
      <c r="F362" s="200"/>
      <c r="G362" s="3"/>
      <c r="H362" s="3"/>
      <c r="I362" s="3"/>
      <c r="J362" s="3"/>
      <c r="K362" s="3"/>
      <c r="L362" s="3"/>
      <c r="M362" s="3"/>
      <c r="N362" s="3"/>
      <c r="O362" s="3"/>
      <c r="P362" s="3"/>
      <c r="Q362" s="3"/>
      <c r="R362" s="3"/>
      <c r="S362" s="3"/>
      <c r="T362" s="3"/>
      <c r="U362" s="3"/>
      <c r="V362" s="3"/>
      <c r="W362" s="3"/>
      <c r="X362" s="3"/>
      <c r="Y362" s="3"/>
    </row>
    <row r="363" spans="1:25" ht="57.6" hidden="1">
      <c r="A363" s="199">
        <v>356</v>
      </c>
      <c r="B363" s="250" t="s">
        <v>981</v>
      </c>
      <c r="C363" s="248">
        <v>44953</v>
      </c>
      <c r="D363" s="200" t="s">
        <v>982</v>
      </c>
      <c r="E363" s="200" t="s">
        <v>21</v>
      </c>
      <c r="F363" s="200"/>
      <c r="G363" s="3"/>
      <c r="H363" s="3"/>
      <c r="I363" s="3"/>
      <c r="J363" s="3"/>
      <c r="K363" s="3"/>
      <c r="L363" s="3"/>
      <c r="M363" s="3"/>
      <c r="N363" s="3"/>
      <c r="O363" s="3"/>
      <c r="P363" s="3"/>
      <c r="Q363" s="3"/>
      <c r="R363" s="3"/>
      <c r="S363" s="3"/>
      <c r="T363" s="3"/>
      <c r="U363" s="3"/>
      <c r="V363" s="3"/>
      <c r="W363" s="3"/>
      <c r="X363" s="3"/>
      <c r="Y363" s="3"/>
    </row>
    <row r="364" spans="1:25" ht="28.8" hidden="1">
      <c r="A364" s="199">
        <v>357</v>
      </c>
      <c r="B364" s="250" t="s">
        <v>983</v>
      </c>
      <c r="C364" s="248">
        <v>44953</v>
      </c>
      <c r="D364" s="200" t="s">
        <v>984</v>
      </c>
      <c r="E364" s="251" t="s">
        <v>985</v>
      </c>
      <c r="F364" s="200"/>
      <c r="G364" s="3"/>
      <c r="H364" s="3"/>
      <c r="I364" s="3"/>
      <c r="J364" s="3"/>
      <c r="K364" s="3"/>
      <c r="L364" s="3"/>
      <c r="M364" s="3"/>
      <c r="N364" s="3"/>
      <c r="O364" s="3"/>
      <c r="P364" s="3"/>
      <c r="Q364" s="3"/>
      <c r="R364" s="3"/>
      <c r="S364" s="3"/>
      <c r="T364" s="3"/>
      <c r="U364" s="3"/>
      <c r="V364" s="3"/>
      <c r="W364" s="3"/>
      <c r="X364" s="3"/>
      <c r="Y364" s="3"/>
    </row>
    <row r="365" spans="1:25" ht="72" hidden="1">
      <c r="A365" s="199">
        <v>358</v>
      </c>
      <c r="B365" s="250" t="s">
        <v>986</v>
      </c>
      <c r="C365" s="248">
        <v>44956</v>
      </c>
      <c r="D365" s="200" t="s">
        <v>987</v>
      </c>
      <c r="E365" s="200" t="s">
        <v>21</v>
      </c>
      <c r="F365" s="200"/>
      <c r="G365" s="3"/>
      <c r="H365" s="3"/>
      <c r="I365" s="3"/>
      <c r="J365" s="3"/>
      <c r="K365" s="3"/>
      <c r="L365" s="3"/>
      <c r="M365" s="3"/>
      <c r="N365" s="3"/>
      <c r="O365" s="3"/>
      <c r="P365" s="3"/>
      <c r="Q365" s="3"/>
      <c r="R365" s="3"/>
      <c r="S365" s="3"/>
      <c r="T365" s="3"/>
      <c r="U365" s="3"/>
      <c r="V365" s="3"/>
      <c r="W365" s="3"/>
      <c r="X365" s="3"/>
      <c r="Y365" s="3"/>
    </row>
    <row r="366" spans="1:25" ht="43.2" hidden="1">
      <c r="A366" s="199">
        <v>359</v>
      </c>
      <c r="B366" s="250" t="s">
        <v>988</v>
      </c>
      <c r="C366" s="248">
        <v>44967</v>
      </c>
      <c r="D366" s="200" t="s">
        <v>989</v>
      </c>
      <c r="E366" s="200" t="s">
        <v>21</v>
      </c>
      <c r="F366" s="200"/>
      <c r="G366" s="3"/>
      <c r="H366" s="3"/>
      <c r="I366" s="3"/>
      <c r="J366" s="3"/>
      <c r="K366" s="3"/>
      <c r="L366" s="3"/>
      <c r="M366" s="3"/>
      <c r="N366" s="3"/>
      <c r="O366" s="3"/>
      <c r="P366" s="3"/>
      <c r="Q366" s="3"/>
      <c r="R366" s="3"/>
      <c r="S366" s="3"/>
      <c r="T366" s="3"/>
      <c r="U366" s="3"/>
      <c r="V366" s="3"/>
      <c r="W366" s="3"/>
      <c r="X366" s="3"/>
      <c r="Y366" s="3"/>
    </row>
    <row r="367" spans="1:25" ht="57.6" hidden="1">
      <c r="A367" s="199">
        <v>360</v>
      </c>
      <c r="B367" s="250" t="s">
        <v>990</v>
      </c>
      <c r="C367" s="248">
        <v>45009</v>
      </c>
      <c r="D367" s="200" t="s">
        <v>991</v>
      </c>
      <c r="E367" s="200" t="s">
        <v>21</v>
      </c>
      <c r="F367" s="200"/>
      <c r="G367" s="3"/>
      <c r="H367" s="3"/>
      <c r="I367" s="3"/>
      <c r="J367" s="3"/>
      <c r="K367" s="3"/>
      <c r="L367" s="3"/>
      <c r="M367" s="3"/>
      <c r="N367" s="3"/>
      <c r="O367" s="3"/>
      <c r="P367" s="3"/>
      <c r="Q367" s="3"/>
      <c r="R367" s="3"/>
      <c r="S367" s="3"/>
      <c r="T367" s="3"/>
      <c r="U367" s="3"/>
      <c r="V367" s="3"/>
      <c r="W367" s="3"/>
      <c r="X367" s="3"/>
      <c r="Y367" s="3"/>
    </row>
    <row r="368" spans="1:25" ht="57.6" hidden="1">
      <c r="A368" s="199">
        <v>361</v>
      </c>
      <c r="B368" s="250" t="s">
        <v>992</v>
      </c>
      <c r="C368" s="248">
        <v>45027</v>
      </c>
      <c r="D368" s="200" t="s">
        <v>993</v>
      </c>
      <c r="E368" s="251" t="s">
        <v>994</v>
      </c>
      <c r="F368" s="200"/>
      <c r="G368" s="3"/>
      <c r="H368" s="3"/>
      <c r="I368" s="3"/>
      <c r="J368" s="3"/>
      <c r="K368" s="3"/>
      <c r="L368" s="3"/>
      <c r="M368" s="3"/>
      <c r="N368" s="3"/>
      <c r="O368" s="3"/>
      <c r="P368" s="3"/>
      <c r="Q368" s="3"/>
      <c r="R368" s="3"/>
      <c r="S368" s="3"/>
      <c r="T368" s="3"/>
      <c r="U368" s="3"/>
      <c r="V368" s="3"/>
      <c r="W368" s="3"/>
      <c r="X368" s="3"/>
      <c r="Y368" s="3"/>
    </row>
    <row r="369" spans="1:25" ht="43.2" hidden="1">
      <c r="A369" s="199">
        <v>362</v>
      </c>
      <c r="B369" s="246" t="s">
        <v>995</v>
      </c>
      <c r="C369" s="248">
        <v>45064</v>
      </c>
      <c r="D369" s="200" t="s">
        <v>996</v>
      </c>
      <c r="E369" s="247" t="s">
        <v>997</v>
      </c>
      <c r="F369" s="200"/>
      <c r="G369" s="3"/>
      <c r="H369" s="3"/>
      <c r="I369" s="3"/>
      <c r="J369" s="3"/>
      <c r="K369" s="3"/>
      <c r="L369" s="3"/>
      <c r="M369" s="3"/>
      <c r="N369" s="3"/>
      <c r="O369" s="3"/>
      <c r="P369" s="3"/>
      <c r="Q369" s="3"/>
      <c r="R369" s="3"/>
      <c r="S369" s="3"/>
      <c r="T369" s="3"/>
      <c r="U369" s="3"/>
      <c r="V369" s="3"/>
      <c r="W369" s="3"/>
      <c r="X369" s="3"/>
      <c r="Y369" s="3"/>
    </row>
    <row r="370" spans="1:25" ht="57.6" hidden="1">
      <c r="A370" s="199">
        <v>363</v>
      </c>
      <c r="B370" s="246" t="s">
        <v>998</v>
      </c>
      <c r="C370" s="248">
        <v>45091</v>
      </c>
      <c r="D370" s="200" t="s">
        <v>999</v>
      </c>
      <c r="E370" s="200" t="s">
        <v>21</v>
      </c>
      <c r="F370" s="200"/>
      <c r="G370" s="3"/>
      <c r="H370" s="3"/>
      <c r="I370" s="3"/>
      <c r="J370" s="3"/>
      <c r="K370" s="3"/>
      <c r="L370" s="3"/>
      <c r="M370" s="3"/>
      <c r="N370" s="3"/>
      <c r="O370" s="3"/>
      <c r="P370" s="3"/>
      <c r="Q370" s="3"/>
      <c r="R370" s="3"/>
      <c r="S370" s="3"/>
      <c r="T370" s="3"/>
      <c r="U370" s="3"/>
      <c r="V370" s="3"/>
      <c r="W370" s="3"/>
      <c r="X370" s="3"/>
      <c r="Y370" s="3"/>
    </row>
    <row r="371" spans="1:25" ht="86.4" hidden="1">
      <c r="A371" s="199">
        <v>364</v>
      </c>
      <c r="B371" s="246" t="s">
        <v>1000</v>
      </c>
      <c r="C371" s="248">
        <v>45119</v>
      </c>
      <c r="D371" s="200" t="s">
        <v>1001</v>
      </c>
      <c r="E371" s="247" t="s">
        <v>1002</v>
      </c>
      <c r="F371" s="200"/>
      <c r="G371" s="3"/>
      <c r="H371" s="3"/>
      <c r="I371" s="3"/>
      <c r="J371" s="3"/>
      <c r="K371" s="3"/>
      <c r="L371" s="3"/>
      <c r="M371" s="3"/>
      <c r="N371" s="3"/>
      <c r="O371" s="3"/>
      <c r="P371" s="3"/>
      <c r="Q371" s="3"/>
      <c r="R371" s="3"/>
      <c r="S371" s="3"/>
      <c r="T371" s="3"/>
      <c r="U371" s="3"/>
      <c r="V371" s="3"/>
      <c r="W371" s="3"/>
      <c r="X371" s="3"/>
      <c r="Y371" s="3"/>
    </row>
    <row r="372" spans="1:25" ht="57.6" hidden="1">
      <c r="A372" s="199">
        <v>365</v>
      </c>
      <c r="B372" s="246" t="s">
        <v>1003</v>
      </c>
      <c r="C372" s="248">
        <v>45140</v>
      </c>
      <c r="D372" s="200" t="s">
        <v>1004</v>
      </c>
      <c r="E372" s="200" t="s">
        <v>21</v>
      </c>
      <c r="F372" s="200"/>
      <c r="G372" s="3"/>
      <c r="H372" s="3"/>
      <c r="I372" s="3"/>
      <c r="J372" s="3"/>
      <c r="K372" s="3"/>
      <c r="L372" s="3"/>
      <c r="M372" s="3"/>
      <c r="N372" s="3"/>
      <c r="O372" s="3"/>
      <c r="P372" s="3"/>
      <c r="Q372" s="3"/>
      <c r="R372" s="3"/>
      <c r="S372" s="3"/>
      <c r="T372" s="3"/>
      <c r="U372" s="3"/>
      <c r="V372" s="3"/>
      <c r="W372" s="3"/>
      <c r="X372" s="3"/>
      <c r="Y372" s="3"/>
    </row>
    <row r="373" spans="1:25" ht="28.8" hidden="1">
      <c r="A373" s="199">
        <v>366</v>
      </c>
      <c r="B373" s="246" t="s">
        <v>1005</v>
      </c>
      <c r="C373" s="248">
        <v>45154</v>
      </c>
      <c r="D373" s="200" t="s">
        <v>1006</v>
      </c>
      <c r="E373" s="200" t="s">
        <v>21</v>
      </c>
      <c r="F373" s="200"/>
      <c r="G373" s="3"/>
      <c r="H373" s="3"/>
      <c r="I373" s="3"/>
      <c r="J373" s="3"/>
      <c r="K373" s="3"/>
      <c r="L373" s="3"/>
      <c r="M373" s="3"/>
      <c r="N373" s="3"/>
      <c r="O373" s="3"/>
      <c r="P373" s="3"/>
      <c r="Q373" s="3"/>
      <c r="R373" s="3"/>
      <c r="S373" s="3"/>
      <c r="T373" s="3"/>
      <c r="U373" s="3"/>
      <c r="V373" s="3"/>
      <c r="W373" s="3"/>
      <c r="X373" s="3"/>
      <c r="Y373" s="3"/>
    </row>
    <row r="374" spans="1:25" ht="57.6" hidden="1">
      <c r="A374" s="199">
        <v>367</v>
      </c>
      <c r="B374" s="246" t="s">
        <v>1007</v>
      </c>
      <c r="C374" s="248">
        <v>45166</v>
      </c>
      <c r="D374" s="200" t="s">
        <v>1008</v>
      </c>
      <c r="E374" s="247" t="s">
        <v>1009</v>
      </c>
      <c r="F374" s="200"/>
      <c r="G374" s="3"/>
      <c r="H374" s="3"/>
      <c r="I374" s="3"/>
      <c r="J374" s="3"/>
      <c r="K374" s="3"/>
      <c r="L374" s="3"/>
      <c r="M374" s="3"/>
      <c r="N374" s="3"/>
      <c r="O374" s="3"/>
      <c r="P374" s="3"/>
      <c r="Q374" s="3"/>
      <c r="R374" s="3"/>
      <c r="S374" s="3"/>
      <c r="T374" s="3"/>
      <c r="U374" s="3"/>
      <c r="V374" s="3"/>
      <c r="W374" s="3"/>
      <c r="X374" s="3"/>
      <c r="Y374" s="3"/>
    </row>
    <row r="375" spans="1:25" ht="43.2" hidden="1">
      <c r="A375" s="199">
        <v>368</v>
      </c>
      <c r="B375" s="246" t="s">
        <v>1010</v>
      </c>
      <c r="C375" s="248">
        <v>45174</v>
      </c>
      <c r="D375" s="200" t="s">
        <v>1011</v>
      </c>
      <c r="E375" s="247" t="s">
        <v>1012</v>
      </c>
      <c r="F375" s="200"/>
      <c r="G375" s="3"/>
      <c r="H375" s="3"/>
      <c r="I375" s="3"/>
      <c r="J375" s="3"/>
      <c r="K375" s="3"/>
      <c r="L375" s="3"/>
      <c r="M375" s="3"/>
      <c r="N375" s="3"/>
      <c r="O375" s="3"/>
      <c r="P375" s="3"/>
      <c r="Q375" s="3"/>
      <c r="R375" s="3"/>
      <c r="S375" s="3"/>
      <c r="T375" s="3"/>
      <c r="U375" s="3"/>
      <c r="V375" s="3"/>
      <c r="W375" s="3"/>
      <c r="X375" s="3"/>
      <c r="Y375" s="3"/>
    </row>
    <row r="376" spans="1:25" ht="57.6" hidden="1">
      <c r="A376" s="199">
        <v>369</v>
      </c>
      <c r="B376" s="246" t="s">
        <v>1013</v>
      </c>
      <c r="C376" s="248">
        <v>45175</v>
      </c>
      <c r="D376" s="200" t="s">
        <v>1014</v>
      </c>
      <c r="E376" s="247" t="s">
        <v>1015</v>
      </c>
      <c r="F376" s="200"/>
      <c r="G376" s="3"/>
      <c r="H376" s="3"/>
      <c r="I376" s="3"/>
      <c r="J376" s="3"/>
      <c r="K376" s="3"/>
      <c r="L376" s="3"/>
      <c r="M376" s="3"/>
      <c r="N376" s="3"/>
      <c r="O376" s="3"/>
      <c r="P376" s="3"/>
      <c r="Q376" s="3"/>
      <c r="R376" s="3"/>
      <c r="S376" s="3"/>
      <c r="T376" s="3"/>
      <c r="U376" s="3"/>
      <c r="V376" s="3"/>
      <c r="W376" s="3"/>
      <c r="X376" s="3"/>
      <c r="Y376" s="3"/>
    </row>
    <row r="377" spans="1:25" ht="86.4" hidden="1">
      <c r="A377" s="199">
        <v>370</v>
      </c>
      <c r="B377" s="246" t="s">
        <v>1016</v>
      </c>
      <c r="C377" s="248">
        <v>45176</v>
      </c>
      <c r="D377" s="200" t="s">
        <v>1017</v>
      </c>
      <c r="E377" s="247" t="s">
        <v>1018</v>
      </c>
      <c r="F377" s="200"/>
      <c r="G377" s="3"/>
      <c r="H377" s="3"/>
      <c r="I377" s="3"/>
      <c r="J377" s="3"/>
      <c r="K377" s="3"/>
      <c r="L377" s="3"/>
      <c r="M377" s="3"/>
      <c r="N377" s="3"/>
      <c r="O377" s="3"/>
      <c r="P377" s="3"/>
      <c r="Q377" s="3"/>
      <c r="R377" s="3"/>
      <c r="S377" s="3"/>
      <c r="T377" s="3"/>
      <c r="U377" s="3"/>
      <c r="V377" s="3"/>
      <c r="W377" s="3"/>
      <c r="X377" s="3"/>
      <c r="Y377" s="3"/>
    </row>
    <row r="378" spans="1:25" ht="115.2" hidden="1">
      <c r="A378" s="199">
        <v>371</v>
      </c>
      <c r="B378" s="246" t="s">
        <v>1019</v>
      </c>
      <c r="C378" s="248">
        <v>45194</v>
      </c>
      <c r="D378" s="200" t="s">
        <v>1020</v>
      </c>
      <c r="E378" s="247" t="s">
        <v>1021</v>
      </c>
      <c r="F378" s="200"/>
      <c r="G378" s="3"/>
      <c r="H378" s="3"/>
      <c r="I378" s="3"/>
      <c r="J378" s="3"/>
      <c r="K378" s="3"/>
      <c r="L378" s="3"/>
      <c r="M378" s="3"/>
      <c r="N378" s="3"/>
      <c r="O378" s="3"/>
      <c r="P378" s="3"/>
      <c r="Q378" s="3"/>
      <c r="R378" s="3"/>
      <c r="S378" s="3"/>
      <c r="T378" s="3"/>
      <c r="U378" s="3"/>
      <c r="V378" s="3"/>
      <c r="W378" s="3"/>
      <c r="X378" s="3"/>
      <c r="Y378" s="3"/>
    </row>
    <row r="379" spans="1:25" ht="100.8" hidden="1">
      <c r="A379" s="199">
        <v>372</v>
      </c>
      <c r="B379" s="246" t="s">
        <v>1022</v>
      </c>
      <c r="C379" s="248">
        <v>45202</v>
      </c>
      <c r="D379" s="200" t="s">
        <v>1023</v>
      </c>
      <c r="E379" s="247" t="s">
        <v>1024</v>
      </c>
      <c r="F379" s="200"/>
      <c r="G379" s="3"/>
      <c r="H379" s="3"/>
      <c r="I379" s="3"/>
      <c r="J379" s="3"/>
      <c r="K379" s="3"/>
      <c r="L379" s="3"/>
      <c r="M379" s="3"/>
      <c r="N379" s="3"/>
      <c r="O379" s="3"/>
      <c r="P379" s="3"/>
      <c r="Q379" s="3"/>
      <c r="R379" s="3"/>
      <c r="S379" s="3"/>
      <c r="T379" s="3"/>
      <c r="U379" s="3"/>
      <c r="V379" s="3"/>
      <c r="W379" s="3"/>
      <c r="X379" s="3"/>
      <c r="Y379" s="3"/>
    </row>
    <row r="380" spans="1:25" ht="28.8" hidden="1">
      <c r="A380" s="199">
        <v>373</v>
      </c>
      <c r="B380" s="246" t="s">
        <v>1025</v>
      </c>
      <c r="C380" s="248">
        <v>45246</v>
      </c>
      <c r="D380" s="200" t="s">
        <v>1026</v>
      </c>
      <c r="E380" s="247" t="s">
        <v>1027</v>
      </c>
      <c r="F380" s="200"/>
      <c r="G380" s="3"/>
      <c r="H380" s="3"/>
      <c r="I380" s="3"/>
      <c r="J380" s="3"/>
      <c r="K380" s="3"/>
      <c r="L380" s="3"/>
      <c r="M380" s="3"/>
      <c r="N380" s="3"/>
      <c r="O380" s="3"/>
      <c r="P380" s="3"/>
      <c r="Q380" s="3"/>
      <c r="R380" s="3"/>
      <c r="S380" s="3"/>
      <c r="T380" s="3"/>
      <c r="U380" s="3"/>
      <c r="V380" s="3"/>
      <c r="W380" s="3"/>
      <c r="X380" s="3"/>
      <c r="Y380" s="3"/>
    </row>
    <row r="381" spans="1:25" ht="28.8" hidden="1">
      <c r="A381" s="199">
        <v>374</v>
      </c>
      <c r="B381" s="246" t="s">
        <v>1028</v>
      </c>
      <c r="C381" s="248">
        <v>45246</v>
      </c>
      <c r="D381" s="200" t="s">
        <v>1029</v>
      </c>
      <c r="E381" s="247" t="s">
        <v>1030</v>
      </c>
      <c r="F381" s="200"/>
      <c r="G381" s="3"/>
      <c r="H381" s="3"/>
      <c r="I381" s="3"/>
      <c r="J381" s="3"/>
      <c r="K381" s="3"/>
      <c r="L381" s="3"/>
      <c r="M381" s="3"/>
      <c r="N381" s="3"/>
      <c r="O381" s="3"/>
      <c r="P381" s="3"/>
      <c r="Q381" s="3"/>
      <c r="R381" s="3"/>
      <c r="S381" s="3"/>
      <c r="T381" s="3"/>
      <c r="U381" s="3"/>
      <c r="V381" s="3"/>
      <c r="W381" s="3"/>
      <c r="X381" s="3"/>
      <c r="Y381" s="3"/>
    </row>
    <row r="382" spans="1:25" ht="57.6" hidden="1">
      <c r="A382" s="199">
        <v>375</v>
      </c>
      <c r="B382" s="246" t="s">
        <v>1031</v>
      </c>
      <c r="C382" s="248">
        <v>45254</v>
      </c>
      <c r="D382" s="200" t="s">
        <v>1032</v>
      </c>
      <c r="E382" s="247" t="s">
        <v>1033</v>
      </c>
      <c r="F382" s="200"/>
      <c r="G382" s="3"/>
      <c r="H382" s="3"/>
      <c r="I382" s="3"/>
      <c r="J382" s="3"/>
      <c r="K382" s="3"/>
      <c r="L382" s="3"/>
      <c r="M382" s="3"/>
      <c r="N382" s="3"/>
      <c r="O382" s="3"/>
      <c r="P382" s="3"/>
      <c r="Q382" s="3"/>
      <c r="R382" s="3"/>
      <c r="S382" s="3"/>
      <c r="T382" s="3"/>
      <c r="U382" s="3"/>
      <c r="V382" s="3"/>
      <c r="W382" s="3"/>
      <c r="X382" s="3"/>
      <c r="Y382" s="3"/>
    </row>
    <row r="383" spans="1:25" ht="86.4" hidden="1">
      <c r="A383" s="199">
        <v>376</v>
      </c>
      <c r="B383" s="246" t="s">
        <v>1034</v>
      </c>
      <c r="C383" s="248">
        <v>45259</v>
      </c>
      <c r="D383" s="200" t="s">
        <v>1035</v>
      </c>
      <c r="E383" s="247" t="s">
        <v>1036</v>
      </c>
      <c r="F383" s="200"/>
      <c r="G383" s="3"/>
      <c r="H383" s="3"/>
      <c r="I383" s="3"/>
      <c r="J383" s="3"/>
      <c r="K383" s="3"/>
      <c r="L383" s="3"/>
      <c r="M383" s="3"/>
      <c r="N383" s="3"/>
      <c r="O383" s="3"/>
      <c r="P383" s="3"/>
      <c r="Q383" s="3"/>
      <c r="R383" s="3"/>
      <c r="S383" s="3"/>
      <c r="T383" s="3"/>
      <c r="U383" s="3"/>
      <c r="V383" s="3"/>
      <c r="W383" s="3"/>
      <c r="X383" s="3"/>
      <c r="Y383" s="3"/>
    </row>
    <row r="384" spans="1:25" ht="100.8" hidden="1">
      <c r="A384" s="199">
        <v>377</v>
      </c>
      <c r="B384" s="246" t="s">
        <v>1037</v>
      </c>
      <c r="C384" s="248">
        <v>45337</v>
      </c>
      <c r="D384" s="200" t="s">
        <v>1038</v>
      </c>
      <c r="E384" s="200" t="s">
        <v>21</v>
      </c>
      <c r="F384" s="200"/>
      <c r="G384" s="3"/>
      <c r="H384" s="3"/>
      <c r="I384" s="3"/>
      <c r="J384" s="3"/>
      <c r="K384" s="3"/>
      <c r="L384" s="3"/>
      <c r="M384" s="3"/>
      <c r="N384" s="3"/>
      <c r="O384" s="3"/>
      <c r="P384" s="3"/>
      <c r="Q384" s="3"/>
      <c r="R384" s="3"/>
      <c r="S384" s="3"/>
      <c r="T384" s="3"/>
      <c r="U384" s="3"/>
      <c r="V384" s="3"/>
      <c r="W384" s="3"/>
      <c r="X384" s="3"/>
      <c r="Y384" s="3"/>
    </row>
    <row r="385" spans="1:25" ht="28.8" hidden="1">
      <c r="A385" s="199">
        <v>378</v>
      </c>
      <c r="B385" s="246" t="s">
        <v>1039</v>
      </c>
      <c r="C385" s="248">
        <v>45338</v>
      </c>
      <c r="D385" s="200" t="s">
        <v>1040</v>
      </c>
      <c r="E385" s="247" t="s">
        <v>1041</v>
      </c>
      <c r="F385" s="200"/>
      <c r="G385" s="3"/>
      <c r="H385" s="3"/>
      <c r="I385" s="3"/>
      <c r="J385" s="3"/>
      <c r="K385" s="3"/>
      <c r="L385" s="3"/>
      <c r="M385" s="3"/>
      <c r="N385" s="3"/>
      <c r="O385" s="3"/>
      <c r="P385" s="3"/>
      <c r="Q385" s="3"/>
      <c r="R385" s="3"/>
      <c r="S385" s="3"/>
      <c r="T385" s="3"/>
      <c r="U385" s="3"/>
      <c r="V385" s="3"/>
      <c r="W385" s="3"/>
      <c r="X385" s="3"/>
      <c r="Y385" s="3"/>
    </row>
    <row r="386" spans="1:25" ht="100.8" hidden="1">
      <c r="A386" s="199">
        <v>379</v>
      </c>
      <c r="B386" s="246" t="s">
        <v>1042</v>
      </c>
      <c r="C386" s="248">
        <v>45338</v>
      </c>
      <c r="D386" s="200" t="s">
        <v>1043</v>
      </c>
      <c r="E386" s="200" t="s">
        <v>21</v>
      </c>
      <c r="F386" s="200"/>
      <c r="G386" s="3"/>
      <c r="H386" s="3"/>
      <c r="I386" s="3"/>
      <c r="J386" s="3"/>
      <c r="K386" s="3"/>
      <c r="L386" s="3"/>
      <c r="M386" s="3"/>
      <c r="N386" s="3"/>
      <c r="O386" s="3"/>
      <c r="P386" s="3"/>
      <c r="Q386" s="3"/>
      <c r="R386" s="3"/>
      <c r="S386" s="3"/>
      <c r="T386" s="3"/>
      <c r="U386" s="3"/>
      <c r="V386" s="3"/>
      <c r="W386" s="3"/>
      <c r="X386" s="3"/>
      <c r="Y386" s="3"/>
    </row>
    <row r="387" spans="1:25" ht="28.8" hidden="1">
      <c r="A387" s="199">
        <v>380</v>
      </c>
      <c r="B387" s="246" t="s">
        <v>1044</v>
      </c>
      <c r="C387" s="248">
        <v>45343</v>
      </c>
      <c r="D387" s="200" t="s">
        <v>1045</v>
      </c>
      <c r="E387" s="247" t="s">
        <v>1046</v>
      </c>
      <c r="F387" s="200"/>
      <c r="G387" s="3"/>
      <c r="H387" s="3"/>
      <c r="I387" s="3"/>
      <c r="J387" s="3"/>
      <c r="K387" s="3"/>
      <c r="L387" s="3"/>
      <c r="M387" s="3"/>
      <c r="N387" s="3"/>
      <c r="O387" s="3"/>
      <c r="P387" s="3"/>
      <c r="Q387" s="3"/>
      <c r="R387" s="3"/>
      <c r="S387" s="3"/>
      <c r="T387" s="3"/>
      <c r="U387" s="3"/>
      <c r="V387" s="3"/>
      <c r="W387" s="3"/>
      <c r="X387" s="3"/>
      <c r="Y387" s="3"/>
    </row>
    <row r="388" spans="1:25" ht="43.2" hidden="1">
      <c r="A388" s="199">
        <v>381</v>
      </c>
      <c r="B388" s="246" t="s">
        <v>1047</v>
      </c>
      <c r="C388" s="248">
        <v>45345</v>
      </c>
      <c r="D388" s="200" t="s">
        <v>1048</v>
      </c>
      <c r="E388" s="249" t="s">
        <v>21</v>
      </c>
      <c r="F388" s="200"/>
      <c r="G388" s="3"/>
      <c r="H388" s="3"/>
      <c r="I388" s="3"/>
      <c r="J388" s="3"/>
      <c r="K388" s="3"/>
      <c r="L388" s="3"/>
      <c r="M388" s="3"/>
      <c r="N388" s="3"/>
      <c r="O388" s="3"/>
      <c r="P388" s="3"/>
      <c r="Q388" s="3"/>
      <c r="R388" s="3"/>
      <c r="S388" s="3"/>
      <c r="T388" s="3"/>
      <c r="U388" s="3"/>
      <c r="V388" s="3"/>
      <c r="W388" s="3"/>
      <c r="X388" s="3"/>
      <c r="Y388" s="3"/>
    </row>
    <row r="389" spans="1:25" ht="100.8" hidden="1">
      <c r="A389" s="199">
        <v>382</v>
      </c>
      <c r="B389" s="246" t="s">
        <v>1049</v>
      </c>
      <c r="C389" s="248">
        <v>45348</v>
      </c>
      <c r="D389" s="200" t="s">
        <v>1050</v>
      </c>
      <c r="E389" s="200" t="s">
        <v>1051</v>
      </c>
      <c r="F389" s="200"/>
      <c r="G389" s="3"/>
      <c r="H389" s="3"/>
      <c r="I389" s="3"/>
      <c r="J389" s="3"/>
      <c r="K389" s="3"/>
      <c r="L389" s="3"/>
      <c r="M389" s="3"/>
      <c r="N389" s="3"/>
      <c r="O389" s="3"/>
      <c r="P389" s="3"/>
      <c r="Q389" s="3"/>
      <c r="R389" s="3"/>
      <c r="S389" s="3"/>
      <c r="T389" s="3"/>
      <c r="U389" s="3"/>
      <c r="V389" s="3"/>
      <c r="W389" s="3"/>
      <c r="X389" s="3"/>
      <c r="Y389" s="3"/>
    </row>
    <row r="390" spans="1:25" ht="28.8" hidden="1">
      <c r="A390" s="199">
        <v>383</v>
      </c>
      <c r="B390" s="246" t="s">
        <v>1052</v>
      </c>
      <c r="C390" s="248">
        <v>45355</v>
      </c>
      <c r="D390" s="200" t="s">
        <v>1053</v>
      </c>
      <c r="E390" s="249" t="s">
        <v>21</v>
      </c>
      <c r="F390" s="200"/>
      <c r="G390" s="3"/>
      <c r="H390" s="3"/>
      <c r="I390" s="3"/>
      <c r="J390" s="3"/>
      <c r="K390" s="3"/>
      <c r="L390" s="3"/>
      <c r="M390" s="3"/>
      <c r="N390" s="3"/>
      <c r="O390" s="3"/>
      <c r="P390" s="3"/>
      <c r="Q390" s="3"/>
      <c r="R390" s="3"/>
      <c r="S390" s="3"/>
      <c r="T390" s="3"/>
      <c r="U390" s="3"/>
      <c r="V390" s="3"/>
      <c r="W390" s="3"/>
      <c r="X390" s="3"/>
      <c r="Y390" s="3"/>
    </row>
    <row r="391" spans="1:25" ht="43.2" hidden="1">
      <c r="A391" s="199">
        <v>384</v>
      </c>
      <c r="B391" s="246" t="s">
        <v>1054</v>
      </c>
      <c r="C391" s="248">
        <v>45362</v>
      </c>
      <c r="D391" s="200" t="s">
        <v>1055</v>
      </c>
      <c r="E391" s="247" t="s">
        <v>1056</v>
      </c>
      <c r="F391" s="200"/>
      <c r="G391" s="3"/>
      <c r="H391" s="3"/>
      <c r="I391" s="3"/>
      <c r="J391" s="3"/>
      <c r="K391" s="3"/>
      <c r="L391" s="3"/>
      <c r="M391" s="3"/>
      <c r="N391" s="3"/>
      <c r="O391" s="3"/>
      <c r="P391" s="3"/>
      <c r="Q391" s="3"/>
      <c r="R391" s="3"/>
      <c r="S391" s="3"/>
      <c r="T391" s="3"/>
      <c r="U391" s="3"/>
      <c r="V391" s="3"/>
      <c r="W391" s="3"/>
      <c r="X391" s="3"/>
      <c r="Y391" s="3"/>
    </row>
    <row r="392" spans="1:25" ht="43.2" hidden="1">
      <c r="A392" s="199">
        <v>385</v>
      </c>
      <c r="B392" s="246" t="s">
        <v>1057</v>
      </c>
      <c r="C392" s="248">
        <v>45375</v>
      </c>
      <c r="D392" s="200" t="s">
        <v>1058</v>
      </c>
      <c r="E392" s="247" t="s">
        <v>1059</v>
      </c>
      <c r="F392" s="200"/>
      <c r="G392" s="3"/>
      <c r="H392" s="3"/>
      <c r="I392" s="3"/>
      <c r="J392" s="3"/>
      <c r="K392" s="3"/>
      <c r="L392" s="3"/>
      <c r="M392" s="3"/>
      <c r="N392" s="3"/>
      <c r="O392" s="3"/>
      <c r="P392" s="3"/>
      <c r="Q392" s="3"/>
      <c r="R392" s="3"/>
      <c r="S392" s="3"/>
      <c r="T392" s="3"/>
      <c r="U392" s="3"/>
      <c r="V392" s="3"/>
      <c r="W392" s="3"/>
      <c r="X392" s="3"/>
      <c r="Y392" s="3"/>
    </row>
    <row r="393" spans="1:25" ht="72" hidden="1">
      <c r="A393" s="199">
        <v>386</v>
      </c>
      <c r="B393" s="246" t="s">
        <v>1060</v>
      </c>
      <c r="C393" s="248">
        <v>45379</v>
      </c>
      <c r="D393" s="200" t="s">
        <v>1061</v>
      </c>
      <c r="E393" s="252" t="s">
        <v>1062</v>
      </c>
      <c r="F393" s="200"/>
      <c r="G393" s="3"/>
      <c r="H393" s="3"/>
      <c r="I393" s="3"/>
      <c r="J393" s="3"/>
      <c r="K393" s="3"/>
      <c r="L393" s="3"/>
      <c r="M393" s="3"/>
      <c r="N393" s="3"/>
      <c r="O393" s="3"/>
      <c r="P393" s="3"/>
      <c r="Q393" s="3"/>
      <c r="R393" s="3"/>
      <c r="S393" s="3"/>
      <c r="T393" s="3"/>
      <c r="U393" s="3"/>
      <c r="V393" s="3"/>
      <c r="W393" s="3"/>
      <c r="X393" s="3"/>
      <c r="Y393" s="3"/>
    </row>
    <row r="394" spans="1:25" ht="129.6" hidden="1">
      <c r="A394" s="199">
        <v>387</v>
      </c>
      <c r="B394" s="246" t="s">
        <v>1063</v>
      </c>
      <c r="C394" s="248">
        <v>45397</v>
      </c>
      <c r="D394" s="200" t="s">
        <v>1064</v>
      </c>
      <c r="E394" s="247" t="s">
        <v>1065</v>
      </c>
      <c r="F394" s="200"/>
      <c r="G394" s="3"/>
      <c r="H394" s="3"/>
      <c r="I394" s="3"/>
      <c r="J394" s="3"/>
      <c r="K394" s="3"/>
      <c r="L394" s="3"/>
      <c r="M394" s="3"/>
      <c r="N394" s="3"/>
      <c r="O394" s="3"/>
      <c r="P394" s="3"/>
      <c r="Q394" s="3"/>
      <c r="R394" s="3"/>
      <c r="S394" s="3"/>
      <c r="T394" s="3"/>
      <c r="U394" s="3"/>
      <c r="V394" s="3"/>
      <c r="W394" s="3"/>
      <c r="X394" s="3"/>
      <c r="Y394" s="3"/>
    </row>
    <row r="395" spans="1:25" ht="72" hidden="1">
      <c r="A395" s="199">
        <v>388</v>
      </c>
      <c r="B395" s="246" t="s">
        <v>1066</v>
      </c>
      <c r="C395" s="248">
        <v>45414</v>
      </c>
      <c r="D395" s="200" t="s">
        <v>1067</v>
      </c>
      <c r="E395" s="247" t="s">
        <v>1068</v>
      </c>
      <c r="F395" s="200"/>
      <c r="G395" s="3"/>
      <c r="H395" s="3"/>
      <c r="I395" s="3"/>
      <c r="J395" s="3"/>
      <c r="K395" s="3"/>
      <c r="L395" s="3"/>
      <c r="M395" s="3"/>
      <c r="N395" s="3"/>
      <c r="O395" s="3"/>
      <c r="P395" s="3"/>
      <c r="Q395" s="3"/>
      <c r="R395" s="3"/>
      <c r="S395" s="3"/>
      <c r="T395" s="3"/>
      <c r="U395" s="3"/>
      <c r="V395" s="3"/>
      <c r="W395" s="3"/>
      <c r="X395" s="3"/>
      <c r="Y395" s="3"/>
    </row>
    <row r="396" spans="1:25" ht="57.6" hidden="1">
      <c r="A396" s="199">
        <v>389</v>
      </c>
      <c r="B396" s="246" t="s">
        <v>1069</v>
      </c>
      <c r="C396" s="248">
        <v>45418</v>
      </c>
      <c r="D396" s="200" t="s">
        <v>1070</v>
      </c>
      <c r="E396" s="247" t="s">
        <v>1071</v>
      </c>
      <c r="F396" s="200"/>
      <c r="G396" s="3"/>
      <c r="H396" s="3"/>
      <c r="I396" s="3"/>
      <c r="J396" s="3"/>
      <c r="K396" s="3"/>
      <c r="L396" s="3"/>
      <c r="M396" s="3"/>
      <c r="N396" s="3"/>
      <c r="O396" s="3"/>
      <c r="P396" s="3"/>
      <c r="Q396" s="3"/>
      <c r="R396" s="3"/>
      <c r="S396" s="3"/>
      <c r="T396" s="3"/>
      <c r="U396" s="3"/>
      <c r="V396" s="3"/>
      <c r="W396" s="3"/>
      <c r="X396" s="3"/>
      <c r="Y396" s="3"/>
    </row>
    <row r="397" spans="1:25" ht="86.4" hidden="1">
      <c r="A397" s="199">
        <v>390</v>
      </c>
      <c r="B397" s="246" t="s">
        <v>1072</v>
      </c>
      <c r="C397" s="248">
        <v>45441</v>
      </c>
      <c r="D397" s="200" t="s">
        <v>1073</v>
      </c>
      <c r="E397" s="247" t="s">
        <v>1074</v>
      </c>
      <c r="F397" s="200"/>
      <c r="G397" s="3"/>
      <c r="H397" s="3"/>
      <c r="I397" s="3"/>
      <c r="J397" s="3"/>
      <c r="K397" s="3"/>
      <c r="L397" s="3"/>
      <c r="M397" s="3"/>
      <c r="N397" s="3"/>
      <c r="O397" s="3"/>
      <c r="P397" s="3"/>
      <c r="Q397" s="3"/>
      <c r="R397" s="3"/>
      <c r="S397" s="3"/>
      <c r="T397" s="3"/>
      <c r="U397" s="3"/>
      <c r="V397" s="3"/>
      <c r="W397" s="3"/>
      <c r="X397" s="3"/>
      <c r="Y397" s="3"/>
    </row>
    <row r="398" spans="1:25" ht="43.2" hidden="1">
      <c r="A398" s="199">
        <v>391</v>
      </c>
      <c r="B398" s="246" t="s">
        <v>1075</v>
      </c>
      <c r="C398" s="248">
        <v>45476</v>
      </c>
      <c r="D398" s="249" t="s">
        <v>1076</v>
      </c>
      <c r="E398" s="247" t="s">
        <v>1077</v>
      </c>
      <c r="F398" s="200"/>
      <c r="G398" s="3"/>
      <c r="H398" s="3"/>
      <c r="I398" s="3"/>
      <c r="J398" s="3"/>
      <c r="K398" s="3"/>
      <c r="L398" s="3"/>
      <c r="M398" s="3"/>
      <c r="N398" s="3"/>
      <c r="O398" s="3"/>
      <c r="P398" s="3"/>
      <c r="Q398" s="3"/>
      <c r="R398" s="3"/>
      <c r="S398" s="3"/>
      <c r="T398" s="3"/>
      <c r="U398" s="3"/>
      <c r="V398" s="3"/>
      <c r="W398" s="3"/>
      <c r="X398" s="3"/>
      <c r="Y398" s="3"/>
    </row>
    <row r="399" spans="1:25" ht="43.2" hidden="1">
      <c r="A399" s="199">
        <v>392</v>
      </c>
      <c r="B399" s="246" t="s">
        <v>1078</v>
      </c>
      <c r="C399" s="248">
        <v>45476</v>
      </c>
      <c r="D399" s="249" t="s">
        <v>1079</v>
      </c>
      <c r="E399" s="247" t="s">
        <v>1080</v>
      </c>
      <c r="F399" s="200"/>
      <c r="G399" s="3"/>
      <c r="H399" s="3"/>
      <c r="I399" s="3"/>
      <c r="J399" s="3"/>
      <c r="K399" s="3"/>
      <c r="L399" s="3"/>
      <c r="M399" s="3"/>
      <c r="N399" s="3"/>
      <c r="O399" s="3"/>
      <c r="P399" s="3"/>
      <c r="Q399" s="3"/>
      <c r="R399" s="3"/>
      <c r="S399" s="3"/>
      <c r="T399" s="3"/>
      <c r="U399" s="3"/>
      <c r="V399" s="3"/>
      <c r="W399" s="3"/>
      <c r="X399" s="3"/>
      <c r="Y399" s="3"/>
    </row>
    <row r="400" spans="1:25" ht="43.2" hidden="1">
      <c r="A400" s="199">
        <v>393</v>
      </c>
      <c r="B400" s="246" t="s">
        <v>1081</v>
      </c>
      <c r="C400" s="248">
        <v>45476</v>
      </c>
      <c r="D400" s="219" t="s">
        <v>1082</v>
      </c>
      <c r="E400" s="247" t="s">
        <v>1080</v>
      </c>
      <c r="F400" s="200"/>
      <c r="G400" s="3"/>
      <c r="H400" s="3"/>
      <c r="I400" s="3"/>
      <c r="J400" s="3"/>
      <c r="K400" s="3"/>
      <c r="L400" s="3"/>
      <c r="M400" s="3"/>
      <c r="N400" s="3"/>
      <c r="O400" s="3"/>
      <c r="P400" s="3"/>
      <c r="Q400" s="3"/>
      <c r="R400" s="3"/>
      <c r="S400" s="3"/>
      <c r="T400" s="3"/>
      <c r="U400" s="3"/>
      <c r="V400" s="3"/>
      <c r="W400" s="3"/>
      <c r="X400" s="3"/>
      <c r="Y400" s="3"/>
    </row>
    <row r="401" spans="1:25" hidden="1">
      <c r="A401" s="199">
        <v>394</v>
      </c>
      <c r="B401" s="253" t="s">
        <v>1083</v>
      </c>
      <c r="C401" s="248">
        <v>45544</v>
      </c>
      <c r="D401" s="254" t="s">
        <v>1084</v>
      </c>
      <c r="E401" s="255" t="s">
        <v>1085</v>
      </c>
      <c r="F401" s="200"/>
      <c r="G401" s="3"/>
      <c r="H401" s="3"/>
      <c r="I401" s="3"/>
      <c r="J401" s="3"/>
      <c r="K401" s="3"/>
      <c r="L401" s="3"/>
      <c r="M401" s="3"/>
      <c r="N401" s="3"/>
      <c r="O401" s="3"/>
      <c r="P401" s="3"/>
      <c r="Q401" s="3"/>
      <c r="R401" s="3"/>
      <c r="S401" s="3"/>
      <c r="T401" s="3"/>
      <c r="U401" s="3"/>
      <c r="V401" s="3"/>
      <c r="W401" s="3"/>
      <c r="X401" s="3"/>
      <c r="Y401" s="3"/>
    </row>
    <row r="402" spans="1:25" ht="57.6" hidden="1">
      <c r="A402" s="199">
        <v>395</v>
      </c>
      <c r="B402" s="246" t="s">
        <v>1086</v>
      </c>
      <c r="C402" s="248">
        <v>45573</v>
      </c>
      <c r="D402" s="239" t="s">
        <v>1087</v>
      </c>
      <c r="E402" s="247" t="s">
        <v>1088</v>
      </c>
      <c r="F402" s="200"/>
      <c r="G402" s="3"/>
      <c r="H402" s="3"/>
      <c r="I402" s="3"/>
      <c r="J402" s="3"/>
      <c r="K402" s="3"/>
      <c r="L402" s="3"/>
      <c r="M402" s="3"/>
      <c r="N402" s="3"/>
      <c r="O402" s="3"/>
      <c r="P402" s="3"/>
      <c r="Q402" s="3"/>
      <c r="R402" s="3"/>
      <c r="S402" s="3"/>
      <c r="T402" s="3"/>
      <c r="U402" s="3"/>
      <c r="V402" s="3"/>
      <c r="W402" s="3"/>
      <c r="X402" s="3"/>
      <c r="Y402" s="3"/>
    </row>
    <row r="403" spans="1:25" s="5" customFormat="1" ht="72" hidden="1">
      <c r="A403" s="221">
        <v>396</v>
      </c>
      <c r="B403" s="32" t="s">
        <v>1089</v>
      </c>
      <c r="C403" s="256">
        <v>45576</v>
      </c>
      <c r="D403" s="221" t="s">
        <v>1090</v>
      </c>
      <c r="E403" s="221" t="s">
        <v>21</v>
      </c>
      <c r="F403" s="221"/>
      <c r="G403" s="113"/>
      <c r="H403" s="113"/>
      <c r="I403" s="113"/>
      <c r="J403" s="113"/>
      <c r="K403" s="113"/>
      <c r="L403" s="113"/>
      <c r="M403" s="113"/>
      <c r="N403" s="113"/>
      <c r="O403" s="113"/>
      <c r="P403" s="113"/>
      <c r="Q403" s="113"/>
      <c r="R403" s="113"/>
      <c r="S403" s="113"/>
      <c r="T403" s="113"/>
      <c r="U403" s="113"/>
      <c r="V403" s="113"/>
      <c r="W403" s="113"/>
      <c r="X403" s="113"/>
      <c r="Y403" s="113"/>
    </row>
    <row r="404" spans="1:25" ht="28.8" hidden="1">
      <c r="A404" s="199">
        <v>397</v>
      </c>
      <c r="B404" s="246" t="s">
        <v>1091</v>
      </c>
      <c r="C404" s="248">
        <v>45586</v>
      </c>
      <c r="D404" s="200" t="s">
        <v>1092</v>
      </c>
      <c r="E404" s="249" t="s">
        <v>21</v>
      </c>
      <c r="F404" s="200"/>
      <c r="G404" s="3"/>
      <c r="H404" s="3"/>
      <c r="I404" s="3"/>
      <c r="J404" s="3"/>
      <c r="K404" s="3"/>
      <c r="L404" s="3"/>
      <c r="M404" s="3"/>
      <c r="N404" s="3"/>
      <c r="O404" s="3"/>
      <c r="P404" s="3"/>
      <c r="Q404" s="3"/>
      <c r="R404" s="3"/>
      <c r="S404" s="3"/>
      <c r="T404" s="3"/>
      <c r="U404" s="3"/>
      <c r="V404" s="3"/>
      <c r="W404" s="3"/>
      <c r="X404" s="3"/>
      <c r="Y404" s="3"/>
    </row>
    <row r="405" spans="1:25" ht="28.8" hidden="1">
      <c r="A405" s="199">
        <v>398</v>
      </c>
      <c r="B405" s="246" t="s">
        <v>1093</v>
      </c>
      <c r="C405" s="248">
        <v>45587</v>
      </c>
      <c r="D405" s="200" t="s">
        <v>1094</v>
      </c>
      <c r="E405" s="247" t="s">
        <v>1095</v>
      </c>
      <c r="F405" s="200"/>
      <c r="G405" s="3"/>
      <c r="H405" s="3"/>
      <c r="I405" s="3"/>
      <c r="J405" s="3"/>
      <c r="K405" s="3"/>
      <c r="L405" s="3"/>
      <c r="M405" s="3"/>
      <c r="N405" s="3"/>
      <c r="O405" s="3"/>
      <c r="P405" s="3"/>
      <c r="Q405" s="3"/>
      <c r="R405" s="3"/>
      <c r="S405" s="3"/>
      <c r="T405" s="3"/>
      <c r="U405" s="3"/>
      <c r="V405" s="3"/>
      <c r="W405" s="3"/>
      <c r="X405" s="3"/>
      <c r="Y405" s="3"/>
    </row>
    <row r="406" spans="1:25" ht="57.6" hidden="1">
      <c r="A406" s="199">
        <v>399</v>
      </c>
      <c r="B406" s="246" t="s">
        <v>1096</v>
      </c>
      <c r="C406" s="248">
        <v>45614</v>
      </c>
      <c r="D406" s="200" t="s">
        <v>1097</v>
      </c>
      <c r="E406" s="247" t="s">
        <v>1098</v>
      </c>
      <c r="F406" s="200"/>
      <c r="G406" s="3"/>
      <c r="H406" s="3"/>
      <c r="I406" s="3"/>
      <c r="J406" s="3"/>
      <c r="K406" s="3"/>
      <c r="L406" s="3"/>
      <c r="M406" s="3"/>
      <c r="N406" s="3"/>
      <c r="O406" s="3"/>
      <c r="P406" s="3"/>
      <c r="Q406" s="3"/>
      <c r="R406" s="3"/>
      <c r="S406" s="3"/>
      <c r="T406" s="3"/>
      <c r="U406" s="3"/>
      <c r="V406" s="3"/>
      <c r="W406" s="3"/>
      <c r="X406" s="3"/>
      <c r="Y406" s="3"/>
    </row>
    <row r="407" spans="1:25" ht="43.2" hidden="1">
      <c r="A407" s="199">
        <v>400</v>
      </c>
      <c r="B407" s="246" t="s">
        <v>1099</v>
      </c>
      <c r="C407" s="248">
        <v>45616</v>
      </c>
      <c r="D407" s="200" t="s">
        <v>1100</v>
      </c>
      <c r="E407" s="249" t="s">
        <v>21</v>
      </c>
      <c r="F407" s="200"/>
      <c r="G407" s="3"/>
      <c r="H407" s="3"/>
      <c r="I407" s="3"/>
      <c r="J407" s="3"/>
      <c r="K407" s="3"/>
      <c r="L407" s="3"/>
      <c r="M407" s="3"/>
      <c r="N407" s="3"/>
      <c r="O407" s="3"/>
      <c r="P407" s="3"/>
      <c r="Q407" s="3"/>
      <c r="R407" s="3"/>
      <c r="S407" s="3"/>
      <c r="T407" s="3"/>
      <c r="U407" s="3"/>
      <c r="V407" s="3"/>
      <c r="W407" s="3"/>
      <c r="X407" s="3"/>
      <c r="Y407" s="3"/>
    </row>
    <row r="408" spans="1:25" ht="28.8" hidden="1">
      <c r="A408" s="199">
        <v>401</v>
      </c>
      <c r="B408" s="246" t="s">
        <v>1101</v>
      </c>
      <c r="C408" s="248">
        <v>45635</v>
      </c>
      <c r="D408" s="200" t="s">
        <v>1102</v>
      </c>
      <c r="E408" s="249" t="s">
        <v>21</v>
      </c>
      <c r="F408" s="200"/>
      <c r="G408" s="3"/>
      <c r="H408" s="3"/>
      <c r="I408" s="3"/>
      <c r="J408" s="3"/>
      <c r="K408" s="3"/>
      <c r="L408" s="3"/>
      <c r="M408" s="3"/>
      <c r="N408" s="3"/>
      <c r="O408" s="3"/>
      <c r="P408" s="3"/>
      <c r="Q408" s="3"/>
      <c r="R408" s="3"/>
      <c r="S408" s="3"/>
      <c r="T408" s="3"/>
      <c r="U408" s="3"/>
      <c r="V408" s="3"/>
      <c r="W408" s="3"/>
      <c r="X408" s="3"/>
      <c r="Y408" s="3"/>
    </row>
    <row r="409" spans="1:25" ht="43.2" hidden="1">
      <c r="A409" s="199">
        <v>402</v>
      </c>
      <c r="B409" s="246" t="s">
        <v>1103</v>
      </c>
      <c r="C409" s="248">
        <v>45637</v>
      </c>
      <c r="D409" s="200" t="s">
        <v>1104</v>
      </c>
      <c r="E409" s="247" t="s">
        <v>1105</v>
      </c>
      <c r="F409" s="200"/>
      <c r="G409" s="3"/>
      <c r="H409" s="3"/>
      <c r="I409" s="3"/>
      <c r="J409" s="3"/>
      <c r="K409" s="3"/>
      <c r="L409" s="3"/>
      <c r="M409" s="3"/>
      <c r="N409" s="3"/>
      <c r="O409" s="3"/>
      <c r="P409" s="3"/>
      <c r="Q409" s="3"/>
      <c r="R409" s="3"/>
      <c r="S409" s="3"/>
      <c r="T409" s="3"/>
      <c r="U409" s="3"/>
      <c r="V409" s="3"/>
      <c r="W409" s="3"/>
      <c r="X409" s="3"/>
      <c r="Y409" s="3"/>
    </row>
    <row r="410" spans="1:25" ht="43.2" hidden="1">
      <c r="A410" s="199">
        <v>403</v>
      </c>
      <c r="B410" s="246" t="s">
        <v>1106</v>
      </c>
      <c r="C410" s="248">
        <v>45639</v>
      </c>
      <c r="D410" s="200" t="s">
        <v>1107</v>
      </c>
      <c r="E410" s="247" t="s">
        <v>1108</v>
      </c>
      <c r="F410" s="200"/>
      <c r="G410" s="3"/>
      <c r="H410" s="3"/>
      <c r="I410" s="3"/>
      <c r="J410" s="3"/>
      <c r="K410" s="3"/>
      <c r="L410" s="3"/>
      <c r="M410" s="3"/>
      <c r="N410" s="3"/>
      <c r="O410" s="3"/>
      <c r="P410" s="3"/>
      <c r="Q410" s="3"/>
      <c r="R410" s="3"/>
      <c r="S410" s="3"/>
      <c r="T410" s="3"/>
      <c r="U410" s="3"/>
      <c r="V410" s="3"/>
      <c r="W410" s="3"/>
      <c r="X410" s="3"/>
      <c r="Y410" s="3"/>
    </row>
    <row r="411" spans="1:25" ht="28.8" hidden="1">
      <c r="A411" s="199">
        <v>404</v>
      </c>
      <c r="B411" s="246" t="s">
        <v>1109</v>
      </c>
      <c r="C411" s="248">
        <v>45645</v>
      </c>
      <c r="D411" s="200" t="s">
        <v>1110</v>
      </c>
      <c r="E411" s="249" t="s">
        <v>21</v>
      </c>
      <c r="F411" s="200"/>
      <c r="G411" s="3"/>
      <c r="H411" s="3"/>
      <c r="I411" s="3"/>
      <c r="J411" s="3"/>
      <c r="K411" s="3"/>
      <c r="L411" s="3"/>
      <c r="M411" s="3"/>
      <c r="N411" s="3"/>
      <c r="O411" s="3"/>
      <c r="P411" s="3"/>
      <c r="Q411" s="3"/>
      <c r="R411" s="3"/>
      <c r="S411" s="3"/>
      <c r="T411" s="3"/>
      <c r="U411" s="3"/>
      <c r="V411" s="3"/>
      <c r="W411" s="3"/>
      <c r="X411" s="3"/>
      <c r="Y411" s="3"/>
    </row>
    <row r="412" spans="1:25" ht="57.6" hidden="1">
      <c r="A412" s="199">
        <v>405</v>
      </c>
      <c r="B412" s="246" t="s">
        <v>1111</v>
      </c>
      <c r="C412" s="248">
        <v>45652</v>
      </c>
      <c r="D412" s="200" t="s">
        <v>1112</v>
      </c>
      <c r="E412" s="247" t="s">
        <v>1113</v>
      </c>
      <c r="F412" s="200"/>
      <c r="G412" s="3"/>
      <c r="H412" s="3"/>
      <c r="I412" s="3"/>
      <c r="J412" s="3"/>
      <c r="K412" s="3"/>
      <c r="L412" s="3"/>
      <c r="M412" s="3"/>
      <c r="N412" s="3"/>
      <c r="O412" s="3"/>
      <c r="P412" s="3"/>
      <c r="Q412" s="3"/>
      <c r="R412" s="3"/>
      <c r="S412" s="3"/>
      <c r="T412" s="3"/>
      <c r="U412" s="3"/>
      <c r="V412" s="3"/>
      <c r="W412" s="3"/>
      <c r="X412" s="3"/>
      <c r="Y412" s="3"/>
    </row>
    <row r="413" spans="1:25" ht="43.2" hidden="1">
      <c r="A413" s="199">
        <v>406</v>
      </c>
      <c r="B413" s="246" t="s">
        <v>1114</v>
      </c>
      <c r="C413" s="248">
        <v>45657</v>
      </c>
      <c r="D413" s="200" t="s">
        <v>1115</v>
      </c>
      <c r="E413" s="247" t="s">
        <v>1116</v>
      </c>
      <c r="F413" s="200"/>
      <c r="G413" s="3"/>
      <c r="H413" s="3"/>
      <c r="I413" s="3"/>
      <c r="J413" s="3"/>
      <c r="K413" s="3"/>
      <c r="L413" s="3"/>
      <c r="M413" s="3"/>
      <c r="N413" s="3"/>
      <c r="O413" s="3"/>
      <c r="P413" s="3"/>
      <c r="Q413" s="3"/>
      <c r="R413" s="3"/>
      <c r="S413" s="3"/>
      <c r="T413" s="3"/>
      <c r="U413" s="3"/>
      <c r="V413" s="3"/>
      <c r="W413" s="3"/>
      <c r="X413" s="3"/>
      <c r="Y413" s="3"/>
    </row>
    <row r="414" spans="1:25" ht="43.2" hidden="1">
      <c r="A414" s="199">
        <v>407</v>
      </c>
      <c r="B414" s="246" t="s">
        <v>1117</v>
      </c>
      <c r="C414" s="248">
        <v>45665</v>
      </c>
      <c r="D414" s="200" t="s">
        <v>1118</v>
      </c>
      <c r="E414" s="249" t="s">
        <v>21</v>
      </c>
      <c r="F414" s="200"/>
      <c r="G414" s="3"/>
      <c r="H414" s="3"/>
      <c r="I414" s="3"/>
      <c r="J414" s="3"/>
      <c r="K414" s="3"/>
      <c r="L414" s="3"/>
      <c r="M414" s="3"/>
      <c r="N414" s="3"/>
      <c r="O414" s="3"/>
      <c r="P414" s="3"/>
      <c r="Q414" s="3"/>
      <c r="R414" s="3"/>
      <c r="S414" s="3"/>
      <c r="T414" s="3"/>
      <c r="U414" s="3"/>
      <c r="V414" s="3"/>
      <c r="W414" s="3"/>
      <c r="X414" s="3"/>
      <c r="Y414" s="3"/>
    </row>
    <row r="415" spans="1:25" ht="57.6" hidden="1">
      <c r="A415" s="199">
        <v>408</v>
      </c>
      <c r="B415" s="246" t="s">
        <v>1119</v>
      </c>
      <c r="C415" s="248">
        <v>45701</v>
      </c>
      <c r="D415" s="200" t="s">
        <v>1120</v>
      </c>
      <c r="E415" s="247" t="s">
        <v>1121</v>
      </c>
      <c r="F415" s="200"/>
      <c r="G415" s="3"/>
      <c r="H415" s="3"/>
      <c r="I415" s="3"/>
      <c r="J415" s="3"/>
      <c r="K415" s="3"/>
      <c r="L415" s="3"/>
      <c r="M415" s="3"/>
      <c r="N415" s="3"/>
      <c r="O415" s="3"/>
      <c r="P415" s="3"/>
      <c r="Q415" s="3"/>
      <c r="R415" s="3"/>
      <c r="S415" s="3"/>
      <c r="T415" s="3"/>
      <c r="U415" s="3"/>
      <c r="V415" s="3"/>
      <c r="W415" s="3"/>
      <c r="X415" s="3"/>
      <c r="Y415" s="3"/>
    </row>
    <row r="416" spans="1:25" ht="72" hidden="1">
      <c r="A416" s="199">
        <v>409</v>
      </c>
      <c r="B416" s="246" t="s">
        <v>1122</v>
      </c>
      <c r="C416" s="248">
        <v>45706</v>
      </c>
      <c r="D416" s="200" t="s">
        <v>1123</v>
      </c>
      <c r="E416" s="247" t="s">
        <v>1124</v>
      </c>
      <c r="F416" s="200"/>
      <c r="G416" s="3"/>
      <c r="H416" s="3"/>
      <c r="I416" s="3"/>
      <c r="J416" s="3"/>
      <c r="K416" s="3"/>
      <c r="L416" s="3"/>
      <c r="M416" s="3"/>
      <c r="N416" s="3"/>
      <c r="O416" s="3"/>
      <c r="P416" s="3"/>
      <c r="Q416" s="3"/>
      <c r="R416" s="3"/>
      <c r="S416" s="3"/>
      <c r="T416" s="3"/>
      <c r="U416" s="3"/>
      <c r="V416" s="3"/>
      <c r="W416" s="3"/>
      <c r="X416" s="3"/>
      <c r="Y416" s="3"/>
    </row>
    <row r="417" spans="1:25" ht="43.2" hidden="1">
      <c r="A417" s="199">
        <v>410</v>
      </c>
      <c r="B417" s="246" t="s">
        <v>1125</v>
      </c>
      <c r="C417" s="248">
        <v>45706</v>
      </c>
      <c r="D417" s="200" t="s">
        <v>1126</v>
      </c>
      <c r="E417" s="247" t="s">
        <v>1127</v>
      </c>
      <c r="F417" s="200"/>
      <c r="G417" s="3"/>
      <c r="H417" s="3"/>
      <c r="I417" s="3"/>
      <c r="J417" s="3"/>
      <c r="K417" s="3"/>
      <c r="L417" s="3"/>
      <c r="M417" s="3"/>
      <c r="N417" s="3"/>
      <c r="O417" s="3"/>
      <c r="P417" s="3"/>
      <c r="Q417" s="3"/>
      <c r="R417" s="3"/>
      <c r="S417" s="3"/>
      <c r="T417" s="3"/>
      <c r="U417" s="3"/>
      <c r="V417" s="3"/>
      <c r="W417" s="3"/>
      <c r="X417" s="3"/>
      <c r="Y417" s="3"/>
    </row>
    <row r="418" spans="1:25" ht="43.2" hidden="1">
      <c r="A418" s="199">
        <v>411</v>
      </c>
      <c r="B418" s="246" t="s">
        <v>1128</v>
      </c>
      <c r="C418" s="248">
        <v>45721</v>
      </c>
      <c r="D418" s="200" t="s">
        <v>1129</v>
      </c>
      <c r="E418" s="249" t="s">
        <v>21</v>
      </c>
      <c r="F418" s="200"/>
      <c r="G418" s="3"/>
      <c r="H418" s="3"/>
      <c r="I418" s="3"/>
      <c r="J418" s="3"/>
      <c r="K418" s="3"/>
      <c r="L418" s="3"/>
      <c r="M418" s="3"/>
      <c r="N418" s="3"/>
      <c r="O418" s="3"/>
      <c r="P418" s="3"/>
      <c r="Q418" s="3"/>
      <c r="R418" s="3"/>
      <c r="S418" s="3"/>
      <c r="T418" s="3"/>
      <c r="U418" s="3"/>
      <c r="V418" s="3"/>
      <c r="W418" s="3"/>
      <c r="X418" s="3"/>
      <c r="Y418" s="3"/>
    </row>
    <row r="419" spans="1:25" ht="43.2" hidden="1">
      <c r="A419" s="209">
        <v>412</v>
      </c>
      <c r="B419" s="242" t="s">
        <v>1130</v>
      </c>
      <c r="C419" s="257">
        <v>45737</v>
      </c>
      <c r="D419" s="219" t="s">
        <v>1131</v>
      </c>
      <c r="E419" s="258" t="s">
        <v>1132</v>
      </c>
      <c r="F419" s="200"/>
      <c r="G419" s="3"/>
      <c r="H419" s="3"/>
      <c r="I419" s="3"/>
      <c r="J419" s="3"/>
      <c r="K419" s="3"/>
      <c r="L419" s="3"/>
      <c r="M419" s="3"/>
      <c r="N419" s="3"/>
      <c r="O419" s="3"/>
      <c r="P419" s="3"/>
      <c r="Q419" s="3"/>
      <c r="R419" s="3"/>
      <c r="S419" s="3"/>
      <c r="T419" s="3"/>
      <c r="U419" s="3"/>
      <c r="V419" s="3"/>
      <c r="W419" s="3"/>
      <c r="X419" s="3"/>
      <c r="Y419" s="3"/>
    </row>
    <row r="420" spans="1:25" ht="57.6" hidden="1">
      <c r="A420" s="243">
        <v>413</v>
      </c>
      <c r="B420" s="89" t="s">
        <v>1133</v>
      </c>
      <c r="C420" s="248">
        <v>45769</v>
      </c>
      <c r="D420" s="220" t="s">
        <v>1134</v>
      </c>
      <c r="E420" s="72" t="s">
        <v>1135</v>
      </c>
      <c r="F420" s="217"/>
      <c r="G420" s="3"/>
      <c r="H420" s="3"/>
      <c r="I420" s="3"/>
      <c r="J420" s="3"/>
      <c r="K420" s="3"/>
      <c r="L420" s="3"/>
      <c r="M420" s="3"/>
      <c r="N420" s="3"/>
      <c r="O420" s="3"/>
      <c r="P420" s="3"/>
      <c r="Q420" s="3"/>
      <c r="R420" s="3"/>
      <c r="S420" s="3"/>
      <c r="T420" s="3"/>
      <c r="U420" s="3"/>
      <c r="V420" s="3"/>
      <c r="W420" s="3"/>
      <c r="X420" s="3"/>
      <c r="Y420" s="3"/>
    </row>
    <row r="421" spans="1:25" ht="72" hidden="1">
      <c r="A421" s="243">
        <v>414</v>
      </c>
      <c r="B421" s="89" t="s">
        <v>1136</v>
      </c>
      <c r="C421" s="248">
        <v>45769</v>
      </c>
      <c r="D421" s="220" t="s">
        <v>1137</v>
      </c>
      <c r="E421" s="72" t="s">
        <v>1138</v>
      </c>
      <c r="F421" s="217"/>
      <c r="G421" s="3"/>
      <c r="H421" s="3"/>
      <c r="I421" s="3"/>
      <c r="J421" s="3"/>
      <c r="K421" s="3"/>
      <c r="L421" s="3"/>
      <c r="M421" s="3"/>
      <c r="N421" s="3"/>
      <c r="O421" s="3"/>
      <c r="P421" s="3"/>
      <c r="Q421" s="3"/>
      <c r="R421" s="3"/>
      <c r="S421" s="3"/>
      <c r="T421" s="3"/>
      <c r="U421" s="3"/>
      <c r="V421" s="3"/>
      <c r="W421" s="3"/>
      <c r="X421" s="3"/>
      <c r="Y421" s="3"/>
    </row>
    <row r="422" spans="1:25" s="5" customFormat="1" ht="43.2" hidden="1">
      <c r="A422" s="280">
        <v>415</v>
      </c>
      <c r="B422" s="89" t="s">
        <v>1139</v>
      </c>
      <c r="C422" s="256">
        <v>45820</v>
      </c>
      <c r="D422" s="280" t="s">
        <v>1140</v>
      </c>
      <c r="E422" s="280" t="s">
        <v>21</v>
      </c>
      <c r="F422" s="222"/>
      <c r="G422" s="113"/>
      <c r="H422" s="113"/>
      <c r="I422" s="113"/>
      <c r="J422" s="113"/>
      <c r="K422" s="113"/>
      <c r="L422" s="113"/>
      <c r="M422" s="113"/>
      <c r="N422" s="113"/>
      <c r="O422" s="113"/>
      <c r="P422" s="113"/>
      <c r="Q422" s="113"/>
      <c r="R422" s="113"/>
      <c r="S422" s="113"/>
      <c r="T422" s="113"/>
      <c r="U422" s="113"/>
      <c r="V422" s="113"/>
      <c r="W422" s="113"/>
      <c r="X422" s="113"/>
      <c r="Y422" s="113"/>
    </row>
    <row r="423" spans="1:25" ht="28.8" hidden="1">
      <c r="A423" s="243">
        <v>416</v>
      </c>
      <c r="B423" s="89" t="s">
        <v>1141</v>
      </c>
      <c r="C423" s="248">
        <v>45835</v>
      </c>
      <c r="D423" s="220" t="s">
        <v>1142</v>
      </c>
      <c r="E423" s="72" t="s">
        <v>1143</v>
      </c>
      <c r="F423" s="217"/>
      <c r="G423" s="3"/>
      <c r="H423" s="3"/>
      <c r="I423" s="3"/>
      <c r="J423" s="3"/>
      <c r="K423" s="3"/>
      <c r="L423" s="3"/>
      <c r="M423" s="3"/>
      <c r="N423" s="3"/>
      <c r="O423" s="3"/>
      <c r="P423" s="3"/>
      <c r="Q423" s="3"/>
      <c r="R423" s="3"/>
      <c r="S423" s="3"/>
      <c r="T423" s="3"/>
      <c r="U423" s="3"/>
      <c r="V423" s="3"/>
      <c r="W423" s="3"/>
      <c r="X423" s="3"/>
      <c r="Y423" s="3"/>
    </row>
    <row r="424" spans="1:25" s="195" customFormat="1" hidden="1">
      <c r="A424" s="259"/>
      <c r="B424" s="193" t="s">
        <v>4874</v>
      </c>
      <c r="C424" s="260">
        <v>45839</v>
      </c>
      <c r="D424" s="261"/>
      <c r="E424" s="194" t="s">
        <v>4875</v>
      </c>
      <c r="F424" s="262"/>
      <c r="G424" s="187"/>
      <c r="H424" s="187"/>
      <c r="I424" s="187"/>
      <c r="J424" s="187"/>
      <c r="K424" s="187"/>
      <c r="L424" s="187"/>
      <c r="M424" s="187"/>
      <c r="N424" s="187"/>
      <c r="O424" s="187"/>
      <c r="P424" s="187"/>
      <c r="Q424" s="187"/>
      <c r="R424" s="187"/>
      <c r="S424" s="187"/>
      <c r="T424" s="187"/>
      <c r="U424" s="187"/>
      <c r="V424" s="187"/>
      <c r="W424" s="187"/>
      <c r="X424" s="187"/>
      <c r="Y424" s="187"/>
    </row>
    <row r="425" spans="1:25" ht="57.6" hidden="1">
      <c r="A425" s="243">
        <v>418</v>
      </c>
      <c r="B425" s="89" t="s">
        <v>1145</v>
      </c>
      <c r="C425" s="248">
        <v>45847</v>
      </c>
      <c r="D425" s="220" t="s">
        <v>1146</v>
      </c>
      <c r="E425" s="72" t="s">
        <v>1147</v>
      </c>
      <c r="F425" s="217"/>
      <c r="G425" s="3"/>
      <c r="H425" s="3"/>
      <c r="I425" s="3"/>
      <c r="J425" s="3"/>
      <c r="K425" s="3"/>
      <c r="L425" s="3"/>
      <c r="M425" s="3"/>
      <c r="N425" s="3"/>
      <c r="O425" s="3"/>
      <c r="P425" s="3"/>
      <c r="Q425" s="3"/>
      <c r="R425" s="3"/>
      <c r="S425" s="3"/>
      <c r="T425" s="3"/>
      <c r="U425" s="3"/>
      <c r="V425" s="3"/>
      <c r="W425" s="3"/>
      <c r="X425" s="3"/>
      <c r="Y425" s="3"/>
    </row>
    <row r="426" spans="1:25" ht="115.2" hidden="1">
      <c r="A426" s="243">
        <v>419</v>
      </c>
      <c r="B426" s="89" t="s">
        <v>1148</v>
      </c>
      <c r="C426" s="248">
        <v>45855</v>
      </c>
      <c r="D426" s="220" t="s">
        <v>1149</v>
      </c>
      <c r="E426" s="244" t="s">
        <v>21</v>
      </c>
      <c r="F426" s="217"/>
      <c r="G426" s="3"/>
      <c r="H426" s="3"/>
      <c r="I426" s="3"/>
      <c r="J426" s="3"/>
      <c r="K426" s="3"/>
      <c r="L426" s="3"/>
      <c r="M426" s="3"/>
      <c r="N426" s="3"/>
      <c r="O426" s="3"/>
      <c r="P426" s="3"/>
      <c r="Q426" s="3"/>
      <c r="R426" s="3"/>
      <c r="S426" s="3"/>
      <c r="T426" s="3"/>
      <c r="U426" s="3"/>
      <c r="V426" s="3"/>
      <c r="W426" s="3"/>
      <c r="X426" s="3"/>
      <c r="Y426" s="3"/>
    </row>
    <row r="427" spans="1:25" ht="72" hidden="1">
      <c r="A427" s="243">
        <v>420</v>
      </c>
      <c r="B427" s="89" t="s">
        <v>1150</v>
      </c>
      <c r="C427" s="248">
        <v>45856</v>
      </c>
      <c r="D427" s="220" t="s">
        <v>1151</v>
      </c>
      <c r="E427" s="244" t="s">
        <v>21</v>
      </c>
      <c r="F427" s="217"/>
      <c r="G427" s="3"/>
      <c r="H427" s="3"/>
      <c r="I427" s="3"/>
      <c r="J427" s="3"/>
      <c r="K427" s="3"/>
      <c r="L427" s="3"/>
      <c r="M427" s="3"/>
      <c r="N427" s="3"/>
      <c r="O427" s="3"/>
      <c r="P427" s="3"/>
      <c r="Q427" s="3"/>
      <c r="R427" s="3"/>
      <c r="S427" s="3"/>
      <c r="T427" s="3"/>
      <c r="U427" s="3"/>
      <c r="V427" s="3"/>
      <c r="W427" s="3"/>
      <c r="X427" s="3"/>
      <c r="Y427" s="3"/>
    </row>
    <row r="428" spans="1:25" ht="57.6" hidden="1">
      <c r="A428" s="243">
        <v>421</v>
      </c>
      <c r="B428" s="89" t="s">
        <v>1152</v>
      </c>
      <c r="C428" s="248">
        <v>45860</v>
      </c>
      <c r="D428" s="220" t="s">
        <v>1153</v>
      </c>
      <c r="E428" s="72" t="s">
        <v>1154</v>
      </c>
      <c r="F428" s="217"/>
      <c r="G428" s="3"/>
      <c r="H428" s="3"/>
      <c r="I428" s="3"/>
      <c r="J428" s="3"/>
      <c r="K428" s="3"/>
      <c r="L428" s="3"/>
      <c r="M428" s="3"/>
      <c r="N428" s="3"/>
      <c r="O428" s="3"/>
      <c r="P428" s="3"/>
      <c r="Q428" s="3"/>
      <c r="R428" s="3"/>
      <c r="S428" s="3"/>
      <c r="T428" s="3"/>
      <c r="U428" s="3"/>
      <c r="V428" s="3"/>
      <c r="W428" s="3"/>
      <c r="X428" s="3"/>
      <c r="Y428" s="3"/>
    </row>
    <row r="429" spans="1:25" ht="43.2" hidden="1">
      <c r="A429" s="243">
        <v>422</v>
      </c>
      <c r="B429" s="89" t="s">
        <v>1155</v>
      </c>
      <c r="C429" s="248">
        <v>45863</v>
      </c>
      <c r="D429" s="220" t="s">
        <v>1156</v>
      </c>
      <c r="E429" s="72" t="s">
        <v>1157</v>
      </c>
      <c r="F429" s="217"/>
      <c r="G429" s="3"/>
      <c r="H429" s="3"/>
      <c r="I429" s="3"/>
      <c r="J429" s="3"/>
      <c r="K429" s="3"/>
      <c r="L429" s="3"/>
      <c r="M429" s="3"/>
      <c r="N429" s="3"/>
      <c r="O429" s="3"/>
      <c r="P429" s="3"/>
      <c r="Q429" s="3"/>
      <c r="R429" s="3"/>
      <c r="S429" s="3"/>
      <c r="T429" s="3"/>
      <c r="U429" s="3"/>
      <c r="V429" s="3"/>
      <c r="W429" s="3"/>
      <c r="X429" s="3"/>
      <c r="Y429" s="3"/>
    </row>
    <row r="430" spans="1:25" ht="43.2" hidden="1">
      <c r="A430" s="243">
        <v>423</v>
      </c>
      <c r="B430" s="89" t="s">
        <v>1158</v>
      </c>
      <c r="C430" s="248">
        <v>45887</v>
      </c>
      <c r="D430" s="220" t="s">
        <v>1159</v>
      </c>
      <c r="E430" s="244" t="s">
        <v>21</v>
      </c>
      <c r="F430" s="217"/>
      <c r="G430" s="3"/>
      <c r="H430" s="3"/>
      <c r="I430" s="3"/>
      <c r="J430" s="3"/>
      <c r="K430" s="3"/>
      <c r="L430" s="3"/>
      <c r="M430" s="3"/>
      <c r="N430" s="3"/>
      <c r="O430" s="3"/>
      <c r="P430" s="3"/>
      <c r="Q430" s="3"/>
      <c r="R430" s="3"/>
      <c r="S430" s="3"/>
      <c r="T430" s="3"/>
      <c r="U430" s="3"/>
      <c r="V430" s="3"/>
      <c r="W430" s="3"/>
      <c r="X430" s="3"/>
      <c r="Y430" s="3"/>
    </row>
    <row r="431" spans="1:25" ht="57.6" hidden="1">
      <c r="A431" s="243">
        <v>426</v>
      </c>
      <c r="B431" s="89" t="s">
        <v>1164</v>
      </c>
      <c r="C431" s="248">
        <v>45897</v>
      </c>
      <c r="D431" s="220" t="s">
        <v>1165</v>
      </c>
      <c r="E431" s="72" t="s">
        <v>1166</v>
      </c>
      <c r="F431" s="217"/>
      <c r="G431" s="3"/>
      <c r="H431" s="3"/>
      <c r="I431" s="3"/>
      <c r="J431" s="3"/>
      <c r="K431" s="3"/>
      <c r="L431" s="3"/>
      <c r="M431" s="3"/>
      <c r="N431" s="3"/>
      <c r="O431" s="3"/>
      <c r="P431" s="3"/>
      <c r="Q431" s="3"/>
      <c r="R431" s="3"/>
      <c r="S431" s="3"/>
      <c r="T431" s="3"/>
      <c r="U431" s="3"/>
      <c r="V431" s="3"/>
      <c r="W431" s="3"/>
      <c r="X431" s="3"/>
      <c r="Y431" s="3"/>
    </row>
    <row r="432" spans="1:25" ht="43.2">
      <c r="A432" s="280">
        <v>427</v>
      </c>
      <c r="B432" s="245" t="s">
        <v>1167</v>
      </c>
      <c r="C432" s="234">
        <f>DATE(2025,9, 11)</f>
        <v>45911</v>
      </c>
      <c r="D432" s="301" t="s">
        <v>1168</v>
      </c>
      <c r="E432" s="301" t="s">
        <v>1169</v>
      </c>
      <c r="F432" s="200"/>
      <c r="G432" s="3"/>
      <c r="H432" s="3"/>
      <c r="I432" s="3"/>
      <c r="J432" s="3"/>
      <c r="K432" s="3"/>
      <c r="L432" s="3"/>
      <c r="M432" s="3"/>
      <c r="N432" s="3"/>
      <c r="O432" s="3"/>
      <c r="P432" s="3"/>
      <c r="Q432" s="3"/>
      <c r="R432" s="3"/>
      <c r="S432" s="3"/>
      <c r="T432" s="3"/>
      <c r="U432" s="3"/>
      <c r="V432" s="3"/>
      <c r="W432" s="3"/>
      <c r="X432" s="3"/>
      <c r="Y432" s="3"/>
    </row>
    <row r="433" spans="1:25" ht="43.2">
      <c r="A433" s="280">
        <v>428</v>
      </c>
      <c r="B433" s="246" t="s">
        <v>1160</v>
      </c>
      <c r="C433" s="234">
        <f>DATE(2025,9, 26)</f>
        <v>45926</v>
      </c>
      <c r="D433" s="221" t="s">
        <v>1161</v>
      </c>
      <c r="E433" s="221" t="s">
        <v>1170</v>
      </c>
      <c r="F433" s="200"/>
      <c r="G433" s="3"/>
      <c r="H433" s="3"/>
      <c r="I433" s="3"/>
      <c r="J433" s="3"/>
      <c r="K433" s="3"/>
      <c r="L433" s="3"/>
      <c r="M433" s="3"/>
      <c r="N433" s="3"/>
      <c r="O433" s="3"/>
      <c r="P433" s="3"/>
      <c r="Q433" s="3"/>
      <c r="R433" s="3"/>
      <c r="S433" s="3"/>
      <c r="T433" s="3"/>
      <c r="U433" s="3"/>
      <c r="V433" s="3"/>
      <c r="W433" s="3"/>
      <c r="X433" s="3"/>
      <c r="Y433" s="3"/>
    </row>
    <row r="434" spans="1:25" ht="28.8">
      <c r="A434" s="280">
        <v>429</v>
      </c>
      <c r="B434" s="246" t="s">
        <v>1171</v>
      </c>
      <c r="C434" s="234">
        <f>DATE(2025,9, 26)</f>
        <v>45926</v>
      </c>
      <c r="D434" s="308" t="s">
        <v>1172</v>
      </c>
      <c r="E434" s="221" t="s">
        <v>4879</v>
      </c>
      <c r="F434" s="200"/>
      <c r="G434" s="3"/>
      <c r="H434" s="3"/>
      <c r="I434" s="3"/>
      <c r="J434" s="3"/>
      <c r="K434" s="3"/>
      <c r="L434" s="3"/>
      <c r="M434" s="3"/>
      <c r="N434" s="3"/>
      <c r="O434" s="3"/>
      <c r="P434" s="3"/>
      <c r="Q434" s="3"/>
      <c r="R434" s="3"/>
      <c r="S434" s="3"/>
      <c r="T434" s="3"/>
      <c r="U434" s="3"/>
      <c r="V434" s="3"/>
      <c r="W434" s="3"/>
      <c r="X434" s="3"/>
      <c r="Y434" s="3"/>
    </row>
    <row r="435" spans="1:25" ht="43.2">
      <c r="A435" s="280">
        <v>430</v>
      </c>
      <c r="B435" s="246" t="s">
        <v>1173</v>
      </c>
      <c r="C435" s="234">
        <f>DATE(2025,10, 7)</f>
        <v>45937</v>
      </c>
      <c r="D435" s="221" t="s">
        <v>1174</v>
      </c>
      <c r="E435" s="221" t="s">
        <v>1175</v>
      </c>
      <c r="F435" s="200"/>
      <c r="G435" s="3"/>
      <c r="H435" s="3"/>
      <c r="I435" s="3"/>
      <c r="J435" s="3"/>
      <c r="K435" s="3"/>
      <c r="L435" s="3"/>
      <c r="M435" s="3"/>
      <c r="N435" s="3"/>
      <c r="O435" s="3"/>
      <c r="P435" s="3"/>
      <c r="Q435" s="3"/>
      <c r="R435" s="3"/>
      <c r="S435" s="3"/>
      <c r="T435" s="3"/>
      <c r="U435" s="3"/>
      <c r="V435" s="3"/>
      <c r="W435" s="3"/>
      <c r="X435" s="3"/>
      <c r="Y435" s="3"/>
    </row>
    <row r="436" spans="1:25" ht="72">
      <c r="A436" s="280">
        <v>431</v>
      </c>
      <c r="B436" s="246" t="s">
        <v>1176</v>
      </c>
      <c r="C436" s="234">
        <f>DATE(2025,11, 4)</f>
        <v>45965</v>
      </c>
      <c r="D436" s="221" t="s">
        <v>1177</v>
      </c>
      <c r="E436" s="282" t="s">
        <v>21</v>
      </c>
      <c r="F436" s="200"/>
      <c r="G436" s="3"/>
      <c r="H436" s="3"/>
      <c r="I436" s="3"/>
      <c r="J436" s="3"/>
      <c r="K436" s="3"/>
      <c r="L436" s="3"/>
      <c r="M436" s="3"/>
      <c r="N436" s="3"/>
      <c r="O436" s="3"/>
      <c r="P436" s="3"/>
      <c r="Q436" s="3"/>
      <c r="R436" s="3"/>
      <c r="S436" s="3"/>
      <c r="T436" s="3"/>
      <c r="U436" s="3"/>
      <c r="V436" s="3"/>
      <c r="W436" s="3"/>
      <c r="X436" s="3"/>
      <c r="Y436" s="3"/>
    </row>
    <row r="437" spans="1:25" ht="72">
      <c r="A437" s="280">
        <v>432</v>
      </c>
      <c r="B437" s="268" t="s">
        <v>1178</v>
      </c>
      <c r="C437" s="234">
        <f>DATE(2025,11, 21)</f>
        <v>45982</v>
      </c>
      <c r="D437" s="287" t="s">
        <v>1179</v>
      </c>
      <c r="E437" s="309" t="s">
        <v>1180</v>
      </c>
      <c r="F437" s="263"/>
      <c r="G437" s="1"/>
      <c r="H437" s="1"/>
      <c r="I437" s="1"/>
      <c r="J437" s="1"/>
      <c r="K437" s="1"/>
      <c r="L437" s="1"/>
      <c r="M437" s="1"/>
      <c r="N437" s="1"/>
      <c r="O437" s="1"/>
      <c r="P437" s="1"/>
      <c r="Q437" s="1"/>
      <c r="R437" s="1"/>
      <c r="S437" s="1"/>
      <c r="T437" s="1"/>
      <c r="U437" s="1"/>
      <c r="V437" s="1"/>
      <c r="W437" s="1"/>
      <c r="X437" s="1"/>
      <c r="Y437" s="1"/>
    </row>
    <row r="438" spans="1:25" ht="57.6">
      <c r="A438" s="280">
        <v>433</v>
      </c>
      <c r="B438" s="268" t="s">
        <v>1181</v>
      </c>
      <c r="C438" s="234">
        <f>DATE(2025,12, 4)</f>
        <v>45995</v>
      </c>
      <c r="D438" s="287" t="s">
        <v>1182</v>
      </c>
      <c r="E438" s="310" t="s">
        <v>21</v>
      </c>
      <c r="F438" s="263"/>
      <c r="G438" s="1"/>
      <c r="H438" s="1"/>
      <c r="I438" s="1"/>
      <c r="J438" s="1"/>
      <c r="K438" s="1"/>
      <c r="L438" s="1"/>
      <c r="M438" s="1"/>
      <c r="N438" s="1"/>
      <c r="O438" s="1"/>
      <c r="P438" s="1"/>
      <c r="Q438" s="1"/>
      <c r="R438" s="1"/>
      <c r="S438" s="1"/>
      <c r="T438" s="1"/>
      <c r="U438" s="1"/>
      <c r="V438" s="1"/>
      <c r="W438" s="1"/>
      <c r="X438" s="1"/>
      <c r="Y438" s="1"/>
    </row>
    <row r="439" spans="1:25" ht="43.2">
      <c r="A439" s="280">
        <v>434</v>
      </c>
      <c r="B439" s="268" t="s">
        <v>1183</v>
      </c>
      <c r="C439" s="234">
        <f>DATE(2025,12, 19)</f>
        <v>46010</v>
      </c>
      <c r="D439" s="282" t="s">
        <v>1184</v>
      </c>
      <c r="E439" s="311" t="s">
        <v>1185</v>
      </c>
      <c r="F439" s="31"/>
      <c r="G439" s="1"/>
      <c r="H439" s="1"/>
      <c r="I439" s="1"/>
      <c r="J439" s="1"/>
      <c r="K439" s="1"/>
      <c r="L439" s="1"/>
      <c r="M439" s="1"/>
      <c r="N439" s="1"/>
      <c r="O439" s="1"/>
      <c r="P439" s="1"/>
      <c r="Q439" s="1"/>
      <c r="R439" s="1"/>
      <c r="S439" s="1"/>
      <c r="T439" s="1"/>
      <c r="U439" s="1"/>
      <c r="V439" s="1"/>
      <c r="W439" s="1"/>
      <c r="X439" s="1"/>
      <c r="Y439" s="1"/>
    </row>
    <row r="440" spans="1:25" ht="57.6">
      <c r="A440" s="280">
        <v>435</v>
      </c>
      <c r="B440" s="269" t="s">
        <v>1186</v>
      </c>
      <c r="C440" s="234">
        <f>DATE(2025,12, 19)</f>
        <v>46010</v>
      </c>
      <c r="D440" s="280" t="s">
        <v>1187</v>
      </c>
      <c r="E440" s="312" t="s">
        <v>1188</v>
      </c>
      <c r="F440" s="263"/>
      <c r="G440" s="1"/>
      <c r="H440" s="1"/>
      <c r="I440" s="1"/>
      <c r="J440" s="1"/>
      <c r="K440" s="1"/>
      <c r="L440" s="1"/>
      <c r="M440" s="1"/>
      <c r="N440" s="1"/>
      <c r="O440" s="1"/>
      <c r="P440" s="1"/>
      <c r="Q440" s="1"/>
      <c r="R440" s="1"/>
      <c r="S440" s="1"/>
      <c r="T440" s="1"/>
      <c r="U440" s="1"/>
      <c r="V440" s="1"/>
      <c r="W440" s="1"/>
      <c r="X440" s="1"/>
      <c r="Y440" s="1"/>
    </row>
    <row r="441" spans="1:25" ht="72">
      <c r="A441" s="313">
        <v>436</v>
      </c>
      <c r="B441" s="235" t="s">
        <v>1189</v>
      </c>
      <c r="C441" s="234">
        <f>DATE(2026,1, 15)</f>
        <v>46037</v>
      </c>
      <c r="D441" s="301" t="s">
        <v>1190</v>
      </c>
      <c r="E441" s="301" t="s">
        <v>4893</v>
      </c>
      <c r="F441" s="31"/>
      <c r="G441" s="1"/>
      <c r="H441" s="1"/>
      <c r="I441" s="1"/>
      <c r="J441" s="1"/>
      <c r="K441" s="1"/>
      <c r="L441" s="1"/>
      <c r="M441" s="1"/>
      <c r="N441" s="1"/>
      <c r="O441" s="1"/>
      <c r="P441" s="1"/>
      <c r="Q441" s="1"/>
      <c r="R441" s="1"/>
      <c r="S441" s="1"/>
      <c r="T441" s="1"/>
      <c r="U441" s="1"/>
      <c r="V441" s="1"/>
      <c r="W441" s="1"/>
      <c r="X441" s="1"/>
      <c r="Y441" s="1"/>
    </row>
    <row r="442" spans="1:25" ht="43.2">
      <c r="A442" s="313">
        <v>437</v>
      </c>
      <c r="B442" s="83" t="s">
        <v>1191</v>
      </c>
      <c r="C442" s="234">
        <f>DATE(2026,4, 1)</f>
        <v>46113</v>
      </c>
      <c r="D442" s="221" t="s">
        <v>1192</v>
      </c>
      <c r="E442" s="221" t="s">
        <v>21</v>
      </c>
      <c r="F442" s="31"/>
      <c r="G442" s="1"/>
      <c r="H442" s="1"/>
      <c r="I442" s="1"/>
      <c r="J442" s="1"/>
      <c r="K442" s="1"/>
      <c r="L442" s="1"/>
      <c r="M442" s="1"/>
      <c r="N442" s="1"/>
      <c r="O442" s="1"/>
      <c r="P442" s="1"/>
      <c r="Q442" s="1"/>
      <c r="R442" s="1"/>
      <c r="S442" s="1"/>
      <c r="T442" s="1"/>
      <c r="U442" s="1"/>
      <c r="V442" s="1"/>
      <c r="W442" s="1"/>
      <c r="X442" s="1"/>
      <c r="Y442" s="1"/>
    </row>
    <row r="443" spans="1:25" ht="57.6">
      <c r="A443" s="313">
        <v>438</v>
      </c>
      <c r="B443" s="83" t="s">
        <v>1193</v>
      </c>
      <c r="C443" s="234">
        <f>DATE(2026,4, 2)</f>
        <v>46114</v>
      </c>
      <c r="D443" s="221" t="s">
        <v>1194</v>
      </c>
      <c r="E443" s="221" t="s">
        <v>21</v>
      </c>
      <c r="F443" s="31"/>
      <c r="G443" s="1"/>
      <c r="H443" s="1"/>
      <c r="I443" s="1"/>
      <c r="J443" s="1"/>
      <c r="K443" s="1"/>
      <c r="L443" s="1"/>
      <c r="M443" s="1"/>
      <c r="N443" s="1"/>
      <c r="O443" s="1"/>
      <c r="P443" s="1"/>
      <c r="Q443" s="1"/>
      <c r="R443" s="1"/>
      <c r="S443" s="1"/>
      <c r="T443" s="1"/>
      <c r="U443" s="1"/>
      <c r="V443" s="1"/>
      <c r="W443" s="1"/>
      <c r="X443" s="1"/>
      <c r="Y443" s="1"/>
    </row>
    <row r="444" spans="1:25" ht="72">
      <c r="A444" s="517">
        <v>439</v>
      </c>
      <c r="B444" s="548" t="s">
        <v>4932</v>
      </c>
      <c r="C444" s="549">
        <f>DATE(2026,5,20)</f>
        <v>46162</v>
      </c>
      <c r="D444" s="550" t="s">
        <v>4933</v>
      </c>
      <c r="E444" s="550" t="s">
        <v>4934</v>
      </c>
      <c r="F444" s="1"/>
      <c r="G444" s="1"/>
      <c r="H444" s="1"/>
      <c r="I444" s="1"/>
      <c r="J444" s="1"/>
      <c r="K444" s="1"/>
      <c r="L444" s="1"/>
      <c r="M444" s="1"/>
      <c r="N444" s="1"/>
      <c r="O444" s="1"/>
      <c r="P444" s="1"/>
      <c r="Q444" s="1"/>
      <c r="R444" s="1"/>
      <c r="S444" s="1"/>
      <c r="T444" s="1"/>
      <c r="U444" s="1"/>
      <c r="V444" s="1"/>
      <c r="W444" s="1"/>
      <c r="X444" s="1"/>
      <c r="Y444" s="1"/>
    </row>
    <row r="445" spans="1:25" ht="72">
      <c r="A445" s="551">
        <v>440</v>
      </c>
      <c r="B445" s="548" t="s">
        <v>4935</v>
      </c>
      <c r="C445" s="549">
        <f>DATE(2026,5,25)</f>
        <v>46167</v>
      </c>
      <c r="D445" s="550" t="s">
        <v>4937</v>
      </c>
      <c r="E445" s="550" t="s">
        <v>4936</v>
      </c>
      <c r="F445" s="1"/>
      <c r="G445" s="1"/>
      <c r="H445" s="1"/>
      <c r="I445" s="1"/>
      <c r="J445" s="1"/>
      <c r="K445" s="1"/>
      <c r="L445" s="1"/>
      <c r="M445" s="1"/>
      <c r="N445" s="1"/>
      <c r="O445" s="1"/>
      <c r="P445" s="1"/>
      <c r="Q445" s="1"/>
      <c r="R445" s="1"/>
      <c r="S445" s="1"/>
      <c r="T445" s="1"/>
      <c r="U445" s="1"/>
      <c r="V445" s="1"/>
      <c r="W445" s="1"/>
      <c r="X445" s="1"/>
      <c r="Y445" s="1"/>
    </row>
    <row r="446" spans="1:25" ht="43.2">
      <c r="A446" s="551">
        <v>441</v>
      </c>
      <c r="B446" s="548" t="s">
        <v>4938</v>
      </c>
      <c r="C446" s="549">
        <f>DATE(2026,5,28)</f>
        <v>46170</v>
      </c>
      <c r="D446" s="550" t="s">
        <v>4940</v>
      </c>
      <c r="E446" s="550" t="s">
        <v>4939</v>
      </c>
      <c r="F446" s="1"/>
      <c r="G446" s="1"/>
      <c r="H446" s="1"/>
      <c r="I446" s="1"/>
      <c r="J446" s="1"/>
      <c r="K446" s="1"/>
      <c r="L446" s="1"/>
      <c r="M446" s="1"/>
      <c r="N446" s="1"/>
      <c r="O446" s="1"/>
      <c r="P446" s="1"/>
      <c r="Q446" s="1"/>
      <c r="R446" s="1"/>
      <c r="S446" s="1"/>
      <c r="T446" s="1"/>
      <c r="U446" s="1"/>
      <c r="V446" s="1"/>
      <c r="W446" s="1"/>
      <c r="X446" s="1"/>
      <c r="Y446" s="1"/>
    </row>
    <row r="447" spans="1:25">
      <c r="A447" s="121"/>
      <c r="B447" s="103"/>
      <c r="C447" s="102"/>
      <c r="D447" s="3"/>
      <c r="E447" s="3"/>
      <c r="F447" s="1"/>
      <c r="G447" s="1"/>
      <c r="H447" s="1"/>
      <c r="I447" s="1"/>
      <c r="J447" s="1"/>
      <c r="K447" s="1"/>
      <c r="L447" s="1"/>
      <c r="M447" s="1"/>
      <c r="N447" s="1"/>
      <c r="O447" s="1"/>
      <c r="P447" s="1"/>
      <c r="Q447" s="1"/>
      <c r="R447" s="1"/>
      <c r="S447" s="1"/>
      <c r="T447" s="1"/>
      <c r="U447" s="1"/>
      <c r="V447" s="1"/>
      <c r="W447" s="1"/>
      <c r="X447" s="1"/>
      <c r="Y447" s="1"/>
    </row>
    <row r="448" spans="1:25">
      <c r="A448" s="9"/>
      <c r="B448" s="122"/>
      <c r="C448" s="114"/>
      <c r="D448" s="3"/>
      <c r="E448" s="3"/>
      <c r="F448" s="1"/>
      <c r="G448" s="1"/>
      <c r="H448" s="1"/>
      <c r="I448" s="1"/>
      <c r="J448" s="1"/>
      <c r="K448" s="1"/>
      <c r="L448" s="1"/>
      <c r="M448" s="1"/>
      <c r="N448" s="1"/>
      <c r="O448" s="1"/>
      <c r="P448" s="1"/>
      <c r="Q448" s="1"/>
      <c r="R448" s="1"/>
      <c r="S448" s="1"/>
      <c r="T448" s="1"/>
      <c r="U448" s="1"/>
      <c r="V448" s="1"/>
      <c r="W448" s="1"/>
      <c r="X448" s="1"/>
      <c r="Y448" s="1"/>
    </row>
    <row r="449" spans="1:25">
      <c r="A449" s="9"/>
      <c r="B449" s="8"/>
      <c r="C449" s="114"/>
      <c r="D449" s="3"/>
      <c r="E449" s="3"/>
      <c r="F449" s="1"/>
      <c r="G449" s="1"/>
      <c r="H449" s="1"/>
      <c r="I449" s="1"/>
      <c r="J449" s="1"/>
      <c r="K449" s="1"/>
      <c r="L449" s="1"/>
      <c r="M449" s="1"/>
      <c r="N449" s="1"/>
      <c r="O449" s="1"/>
      <c r="P449" s="1"/>
      <c r="Q449" s="1"/>
      <c r="R449" s="1"/>
      <c r="S449" s="1"/>
      <c r="T449" s="1"/>
      <c r="U449" s="1"/>
      <c r="V449" s="1"/>
      <c r="W449" s="1"/>
      <c r="X449" s="1"/>
      <c r="Y449" s="1"/>
    </row>
    <row r="450" spans="1:25">
      <c r="A450" s="9"/>
      <c r="B450" s="8"/>
      <c r="C450" s="114"/>
      <c r="D450" s="3"/>
      <c r="E450" s="3"/>
      <c r="F450" s="1"/>
      <c r="G450" s="1"/>
      <c r="H450" s="1"/>
      <c r="I450" s="1"/>
      <c r="J450" s="1"/>
      <c r="K450" s="1"/>
      <c r="L450" s="1"/>
      <c r="M450" s="1"/>
      <c r="N450" s="1"/>
      <c r="O450" s="1"/>
      <c r="P450" s="1"/>
      <c r="Q450" s="1"/>
      <c r="R450" s="1"/>
      <c r="S450" s="1"/>
      <c r="T450" s="1"/>
      <c r="U450" s="1"/>
      <c r="V450" s="1"/>
      <c r="W450" s="1"/>
      <c r="X450" s="1"/>
      <c r="Y450" s="1"/>
    </row>
    <row r="451" spans="1:25">
      <c r="A451" s="9"/>
      <c r="B451" s="8"/>
      <c r="C451" s="114"/>
      <c r="D451" s="3"/>
      <c r="E451" s="3"/>
      <c r="F451" s="1"/>
      <c r="G451" s="1"/>
      <c r="H451" s="1"/>
      <c r="I451" s="1"/>
      <c r="J451" s="1"/>
      <c r="K451" s="1"/>
      <c r="L451" s="1"/>
      <c r="M451" s="1"/>
      <c r="N451" s="1"/>
      <c r="O451" s="1"/>
      <c r="P451" s="1"/>
      <c r="Q451" s="1"/>
      <c r="R451" s="1"/>
      <c r="S451" s="1"/>
      <c r="T451" s="1"/>
      <c r="U451" s="1"/>
      <c r="V451" s="1"/>
      <c r="W451" s="1"/>
      <c r="X451" s="1"/>
      <c r="Y451" s="1"/>
    </row>
    <row r="452" spans="1:25">
      <c r="A452" s="9"/>
      <c r="B452" s="8"/>
      <c r="C452" s="114"/>
      <c r="D452" s="3"/>
      <c r="E452" s="3"/>
      <c r="F452" s="1"/>
      <c r="G452" s="1"/>
      <c r="H452" s="1"/>
      <c r="I452" s="1"/>
      <c r="J452" s="1"/>
      <c r="K452" s="1"/>
      <c r="L452" s="1"/>
      <c r="M452" s="1"/>
      <c r="N452" s="1"/>
      <c r="O452" s="1"/>
      <c r="P452" s="1"/>
      <c r="Q452" s="1"/>
      <c r="R452" s="1"/>
      <c r="S452" s="1"/>
      <c r="T452" s="1"/>
      <c r="U452" s="1"/>
      <c r="V452" s="1"/>
      <c r="W452" s="1"/>
      <c r="X452" s="1"/>
      <c r="Y452" s="1"/>
    </row>
    <row r="453" spans="1:25">
      <c r="A453" s="9"/>
      <c r="B453" s="8"/>
      <c r="C453" s="114"/>
      <c r="D453" s="3"/>
      <c r="E453" s="3"/>
      <c r="F453" s="1"/>
      <c r="G453" s="1"/>
      <c r="H453" s="1"/>
      <c r="I453" s="1"/>
      <c r="J453" s="1"/>
      <c r="K453" s="1"/>
      <c r="L453" s="1"/>
      <c r="M453" s="1"/>
      <c r="N453" s="1"/>
      <c r="O453" s="1"/>
      <c r="P453" s="1"/>
      <c r="Q453" s="1"/>
      <c r="R453" s="1"/>
      <c r="S453" s="1"/>
      <c r="T453" s="1"/>
      <c r="U453" s="1"/>
      <c r="V453" s="1"/>
      <c r="W453" s="1"/>
      <c r="X453" s="1"/>
      <c r="Y453" s="1"/>
    </row>
    <row r="454" spans="1:25">
      <c r="A454" s="9"/>
      <c r="B454" s="8"/>
      <c r="C454" s="114"/>
      <c r="D454" s="3"/>
      <c r="E454" s="3"/>
      <c r="F454" s="1"/>
      <c r="G454" s="1"/>
      <c r="H454" s="1"/>
      <c r="I454" s="1"/>
      <c r="J454" s="1"/>
      <c r="K454" s="1"/>
      <c r="L454" s="1"/>
      <c r="M454" s="1"/>
      <c r="N454" s="1"/>
      <c r="O454" s="1"/>
      <c r="P454" s="1"/>
      <c r="Q454" s="1"/>
      <c r="R454" s="1"/>
      <c r="S454" s="1"/>
      <c r="T454" s="1"/>
      <c r="U454" s="1"/>
      <c r="V454" s="1"/>
      <c r="W454" s="1"/>
      <c r="X454" s="1"/>
      <c r="Y454" s="1"/>
    </row>
    <row r="455" spans="1:25">
      <c r="A455" s="9"/>
      <c r="B455" s="8"/>
      <c r="C455" s="114"/>
      <c r="D455" s="3"/>
      <c r="E455" s="3"/>
      <c r="F455" s="1"/>
      <c r="G455" s="1"/>
      <c r="H455" s="1"/>
      <c r="I455" s="1"/>
      <c r="J455" s="1"/>
      <c r="K455" s="1"/>
      <c r="L455" s="1"/>
      <c r="M455" s="1"/>
      <c r="N455" s="1"/>
      <c r="O455" s="1"/>
      <c r="P455" s="1"/>
      <c r="Q455" s="1"/>
      <c r="R455" s="1"/>
      <c r="S455" s="1"/>
      <c r="T455" s="1"/>
      <c r="U455" s="1"/>
      <c r="V455" s="1"/>
      <c r="W455" s="1"/>
      <c r="X455" s="1"/>
      <c r="Y455" s="1"/>
    </row>
    <row r="456" spans="1:25">
      <c r="A456" s="9"/>
      <c r="B456" s="8"/>
      <c r="C456" s="114"/>
      <c r="D456" s="3"/>
      <c r="E456" s="3"/>
      <c r="F456" s="1"/>
      <c r="G456" s="1"/>
      <c r="H456" s="1"/>
      <c r="I456" s="1"/>
      <c r="J456" s="1"/>
      <c r="K456" s="1"/>
      <c r="L456" s="1"/>
      <c r="M456" s="1"/>
      <c r="N456" s="1"/>
      <c r="O456" s="1"/>
      <c r="P456" s="1"/>
      <c r="Q456" s="1"/>
      <c r="R456" s="1"/>
      <c r="S456" s="1"/>
      <c r="T456" s="1"/>
      <c r="U456" s="1"/>
      <c r="V456" s="1"/>
      <c r="W456" s="1"/>
      <c r="X456" s="1"/>
      <c r="Y456" s="1"/>
    </row>
    <row r="457" spans="1:25">
      <c r="A457" s="9"/>
      <c r="B457" s="8"/>
      <c r="C457" s="114"/>
      <c r="D457" s="3"/>
      <c r="E457" s="3"/>
      <c r="F457" s="1"/>
      <c r="G457" s="1"/>
      <c r="H457" s="1"/>
      <c r="I457" s="1"/>
      <c r="J457" s="1"/>
      <c r="K457" s="1"/>
      <c r="L457" s="1"/>
      <c r="M457" s="1"/>
      <c r="N457" s="1"/>
      <c r="O457" s="1"/>
      <c r="P457" s="1"/>
      <c r="Q457" s="1"/>
      <c r="R457" s="1"/>
      <c r="S457" s="1"/>
      <c r="T457" s="1"/>
      <c r="U457" s="1"/>
      <c r="V457" s="1"/>
      <c r="W457" s="1"/>
      <c r="X457" s="1"/>
      <c r="Y457" s="1"/>
    </row>
    <row r="458" spans="1:25">
      <c r="A458" s="9"/>
      <c r="B458" s="8"/>
      <c r="C458" s="114"/>
      <c r="D458" s="3"/>
      <c r="E458" s="3"/>
      <c r="F458" s="1"/>
      <c r="G458" s="1"/>
      <c r="H458" s="1"/>
      <c r="I458" s="1"/>
      <c r="J458" s="1"/>
      <c r="K458" s="1"/>
      <c r="L458" s="1"/>
      <c r="M458" s="1"/>
      <c r="N458" s="1"/>
      <c r="O458" s="1"/>
      <c r="P458" s="1"/>
      <c r="Q458" s="1"/>
      <c r="R458" s="1"/>
      <c r="S458" s="1"/>
      <c r="T458" s="1"/>
      <c r="U458" s="1"/>
      <c r="V458" s="1"/>
      <c r="W458" s="1"/>
      <c r="X458" s="1"/>
      <c r="Y458" s="1"/>
    </row>
    <row r="459" spans="1:25">
      <c r="A459" s="9"/>
      <c r="B459" s="8"/>
      <c r="C459" s="114"/>
      <c r="D459" s="3"/>
      <c r="E459" s="3"/>
      <c r="F459" s="1"/>
      <c r="G459" s="1"/>
      <c r="H459" s="1"/>
      <c r="I459" s="1"/>
      <c r="J459" s="1"/>
      <c r="K459" s="1"/>
      <c r="L459" s="1"/>
      <c r="M459" s="1"/>
      <c r="N459" s="1"/>
      <c r="O459" s="1"/>
      <c r="P459" s="1"/>
      <c r="Q459" s="1"/>
      <c r="R459" s="1"/>
      <c r="S459" s="1"/>
      <c r="T459" s="1"/>
      <c r="U459" s="1"/>
      <c r="V459" s="1"/>
      <c r="W459" s="1"/>
      <c r="X459" s="1"/>
      <c r="Y459" s="1"/>
    </row>
    <row r="460" spans="1:25">
      <c r="A460" s="9"/>
      <c r="B460" s="8"/>
      <c r="C460" s="114"/>
      <c r="D460" s="3"/>
      <c r="E460" s="3"/>
      <c r="F460" s="1"/>
      <c r="G460" s="1"/>
      <c r="H460" s="1"/>
      <c r="I460" s="1"/>
      <c r="J460" s="1"/>
      <c r="K460" s="1"/>
      <c r="L460" s="1"/>
      <c r="M460" s="1"/>
      <c r="N460" s="1"/>
      <c r="O460" s="1"/>
      <c r="P460" s="1"/>
      <c r="Q460" s="1"/>
      <c r="R460" s="1"/>
      <c r="S460" s="1"/>
      <c r="T460" s="1"/>
      <c r="U460" s="1"/>
      <c r="V460" s="1"/>
      <c r="W460" s="1"/>
      <c r="X460" s="1"/>
      <c r="Y460" s="1"/>
    </row>
    <row r="461" spans="1:25">
      <c r="A461" s="9"/>
      <c r="B461" s="8"/>
      <c r="C461" s="114"/>
      <c r="D461" s="3"/>
      <c r="E461" s="3"/>
      <c r="F461" s="1"/>
      <c r="G461" s="1"/>
      <c r="H461" s="1"/>
      <c r="I461" s="1"/>
      <c r="J461" s="1"/>
      <c r="K461" s="1"/>
      <c r="L461" s="1"/>
      <c r="M461" s="1"/>
      <c r="N461" s="1"/>
      <c r="O461" s="1"/>
      <c r="P461" s="1"/>
      <c r="Q461" s="1"/>
      <c r="R461" s="1"/>
      <c r="S461" s="1"/>
      <c r="T461" s="1"/>
      <c r="U461" s="1"/>
      <c r="V461" s="1"/>
      <c r="W461" s="1"/>
      <c r="X461" s="1"/>
      <c r="Y461" s="1"/>
    </row>
    <row r="462" spans="1:25">
      <c r="A462" s="9"/>
      <c r="B462" s="8"/>
      <c r="C462" s="114"/>
      <c r="D462" s="3"/>
      <c r="E462" s="3"/>
      <c r="F462" s="1"/>
      <c r="G462" s="1"/>
      <c r="H462" s="1"/>
      <c r="I462" s="1"/>
      <c r="J462" s="1"/>
      <c r="K462" s="1"/>
      <c r="L462" s="1"/>
      <c r="M462" s="1"/>
      <c r="N462" s="1"/>
      <c r="O462" s="1"/>
      <c r="P462" s="1"/>
      <c r="Q462" s="1"/>
      <c r="R462" s="1"/>
      <c r="S462" s="1"/>
      <c r="T462" s="1"/>
      <c r="U462" s="1"/>
      <c r="V462" s="1"/>
      <c r="W462" s="1"/>
      <c r="X462" s="1"/>
      <c r="Y462" s="1"/>
    </row>
    <row r="463" spans="1:25">
      <c r="A463" s="9"/>
      <c r="B463" s="8"/>
      <c r="C463" s="114"/>
      <c r="D463" s="3"/>
      <c r="E463" s="3"/>
      <c r="F463" s="1"/>
      <c r="G463" s="1"/>
      <c r="H463" s="1"/>
      <c r="I463" s="1"/>
      <c r="J463" s="1"/>
      <c r="K463" s="1"/>
      <c r="L463" s="1"/>
      <c r="M463" s="1"/>
      <c r="N463" s="1"/>
      <c r="O463" s="1"/>
      <c r="P463" s="1"/>
      <c r="Q463" s="1"/>
      <c r="R463" s="1"/>
      <c r="S463" s="1"/>
      <c r="T463" s="1"/>
      <c r="U463" s="1"/>
      <c r="V463" s="1"/>
      <c r="W463" s="1"/>
      <c r="X463" s="1"/>
      <c r="Y463" s="1"/>
    </row>
    <row r="464" spans="1:25">
      <c r="A464" s="9"/>
      <c r="B464" s="8"/>
      <c r="C464" s="114"/>
      <c r="D464" s="3"/>
      <c r="E464" s="3"/>
      <c r="F464" s="1"/>
      <c r="G464" s="1"/>
      <c r="H464" s="1"/>
      <c r="I464" s="1"/>
      <c r="J464" s="1"/>
      <c r="K464" s="1"/>
      <c r="L464" s="1"/>
      <c r="M464" s="1"/>
      <c r="N464" s="1"/>
      <c r="O464" s="1"/>
      <c r="P464" s="1"/>
      <c r="Q464" s="1"/>
      <c r="R464" s="1"/>
      <c r="S464" s="1"/>
      <c r="T464" s="1"/>
      <c r="U464" s="1"/>
      <c r="V464" s="1"/>
      <c r="W464" s="1"/>
      <c r="X464" s="1"/>
      <c r="Y464" s="1"/>
    </row>
    <row r="465" spans="1:25">
      <c r="A465" s="9"/>
      <c r="B465" s="8"/>
      <c r="C465" s="114"/>
      <c r="D465" s="3"/>
      <c r="E465" s="3"/>
      <c r="F465" s="1"/>
      <c r="G465" s="1"/>
      <c r="H465" s="1"/>
      <c r="I465" s="1"/>
      <c r="J465" s="1"/>
      <c r="K465" s="1"/>
      <c r="L465" s="1"/>
      <c r="M465" s="1"/>
      <c r="N465" s="1"/>
      <c r="O465" s="1"/>
      <c r="P465" s="1"/>
      <c r="Q465" s="1"/>
      <c r="R465" s="1"/>
      <c r="S465" s="1"/>
      <c r="T465" s="1"/>
      <c r="U465" s="1"/>
      <c r="V465" s="1"/>
      <c r="W465" s="1"/>
      <c r="X465" s="1"/>
      <c r="Y465" s="1"/>
    </row>
    <row r="466" spans="1:25">
      <c r="A466" s="9"/>
      <c r="B466" s="8"/>
      <c r="C466" s="114"/>
      <c r="D466" s="3"/>
      <c r="E466" s="3"/>
      <c r="F466" s="1"/>
      <c r="G466" s="1"/>
      <c r="H466" s="1"/>
      <c r="I466" s="1"/>
      <c r="J466" s="1"/>
      <c r="K466" s="1"/>
      <c r="L466" s="1"/>
      <c r="M466" s="1"/>
      <c r="N466" s="1"/>
      <c r="O466" s="1"/>
      <c r="P466" s="1"/>
      <c r="Q466" s="1"/>
      <c r="R466" s="1"/>
      <c r="S466" s="1"/>
      <c r="T466" s="1"/>
      <c r="U466" s="1"/>
      <c r="V466" s="1"/>
      <c r="W466" s="1"/>
      <c r="X466" s="1"/>
      <c r="Y466" s="1"/>
    </row>
    <row r="467" spans="1:25">
      <c r="A467" s="9"/>
      <c r="B467" s="8"/>
      <c r="C467" s="114"/>
      <c r="D467" s="3"/>
      <c r="E467" s="3"/>
      <c r="F467" s="1"/>
      <c r="G467" s="1"/>
      <c r="H467" s="1"/>
      <c r="I467" s="1"/>
      <c r="J467" s="1"/>
      <c r="K467" s="1"/>
      <c r="L467" s="1"/>
      <c r="M467" s="1"/>
      <c r="N467" s="1"/>
      <c r="O467" s="1"/>
      <c r="P467" s="1"/>
      <c r="Q467" s="1"/>
      <c r="R467" s="1"/>
      <c r="S467" s="1"/>
      <c r="T467" s="1"/>
      <c r="U467" s="1"/>
      <c r="V467" s="1"/>
      <c r="W467" s="1"/>
      <c r="X467" s="1"/>
      <c r="Y467" s="1"/>
    </row>
    <row r="468" spans="1:25">
      <c r="A468" s="9"/>
      <c r="B468" s="8"/>
      <c r="C468" s="114"/>
      <c r="D468" s="3"/>
      <c r="E468" s="3"/>
      <c r="F468" s="1"/>
      <c r="G468" s="1"/>
      <c r="H468" s="1"/>
      <c r="I468" s="1"/>
      <c r="J468" s="1"/>
      <c r="K468" s="1"/>
      <c r="L468" s="1"/>
      <c r="M468" s="1"/>
      <c r="N468" s="1"/>
      <c r="O468" s="1"/>
      <c r="P468" s="1"/>
      <c r="Q468" s="1"/>
      <c r="R468" s="1"/>
      <c r="S468" s="1"/>
      <c r="T468" s="1"/>
      <c r="U468" s="1"/>
      <c r="V468" s="1"/>
      <c r="W468" s="1"/>
      <c r="X468" s="1"/>
      <c r="Y468" s="1"/>
    </row>
    <row r="469" spans="1:25">
      <c r="A469" s="9"/>
      <c r="B469" s="8"/>
      <c r="C469" s="114"/>
      <c r="D469" s="3"/>
      <c r="E469" s="3"/>
      <c r="F469" s="1"/>
      <c r="G469" s="1"/>
      <c r="H469" s="1"/>
      <c r="I469" s="1"/>
      <c r="J469" s="1"/>
      <c r="K469" s="1"/>
      <c r="L469" s="1"/>
      <c r="M469" s="1"/>
      <c r="N469" s="1"/>
      <c r="O469" s="1"/>
      <c r="P469" s="1"/>
      <c r="Q469" s="1"/>
      <c r="R469" s="1"/>
      <c r="S469" s="1"/>
      <c r="T469" s="1"/>
      <c r="U469" s="1"/>
      <c r="V469" s="1"/>
      <c r="W469" s="1"/>
      <c r="X469" s="1"/>
      <c r="Y469" s="1"/>
    </row>
    <row r="470" spans="1:25">
      <c r="A470" s="9"/>
      <c r="B470" s="8"/>
      <c r="C470" s="114"/>
      <c r="D470" s="3"/>
      <c r="E470" s="3"/>
      <c r="F470" s="1"/>
      <c r="G470" s="1"/>
      <c r="H470" s="1"/>
      <c r="I470" s="1"/>
      <c r="J470" s="1"/>
      <c r="K470" s="1"/>
      <c r="L470" s="1"/>
      <c r="M470" s="1"/>
      <c r="N470" s="1"/>
      <c r="O470" s="1"/>
      <c r="P470" s="1"/>
      <c r="Q470" s="1"/>
      <c r="R470" s="1"/>
      <c r="S470" s="1"/>
      <c r="T470" s="1"/>
      <c r="U470" s="1"/>
      <c r="V470" s="1"/>
      <c r="W470" s="1"/>
      <c r="X470" s="1"/>
      <c r="Y470" s="1"/>
    </row>
    <row r="471" spans="1:25">
      <c r="A471" s="9"/>
      <c r="B471" s="8"/>
      <c r="C471" s="114"/>
      <c r="D471" s="3"/>
      <c r="E471" s="3"/>
      <c r="F471" s="1"/>
      <c r="G471" s="1"/>
      <c r="H471" s="1"/>
      <c r="I471" s="1"/>
      <c r="J471" s="1"/>
      <c r="K471" s="1"/>
      <c r="L471" s="1"/>
      <c r="M471" s="1"/>
      <c r="N471" s="1"/>
      <c r="O471" s="1"/>
      <c r="P471" s="1"/>
      <c r="Q471" s="1"/>
      <c r="R471" s="1"/>
      <c r="S471" s="1"/>
      <c r="T471" s="1"/>
      <c r="U471" s="1"/>
      <c r="V471" s="1"/>
      <c r="W471" s="1"/>
      <c r="X471" s="1"/>
      <c r="Y471" s="1"/>
    </row>
    <row r="472" spans="1:25">
      <c r="A472" s="9"/>
      <c r="B472" s="8"/>
      <c r="C472" s="114"/>
      <c r="D472" s="3"/>
      <c r="E472" s="3"/>
      <c r="F472" s="1"/>
      <c r="G472" s="1"/>
      <c r="H472" s="1"/>
      <c r="I472" s="1"/>
      <c r="J472" s="1"/>
      <c r="K472" s="1"/>
      <c r="L472" s="1"/>
      <c r="M472" s="1"/>
      <c r="N472" s="1"/>
      <c r="O472" s="1"/>
      <c r="P472" s="1"/>
      <c r="Q472" s="1"/>
      <c r="R472" s="1"/>
      <c r="S472" s="1"/>
      <c r="T472" s="1"/>
      <c r="U472" s="1"/>
      <c r="V472" s="1"/>
      <c r="W472" s="1"/>
      <c r="X472" s="1"/>
      <c r="Y472" s="1"/>
    </row>
    <row r="473" spans="1:25">
      <c r="A473" s="9"/>
      <c r="B473" s="8"/>
      <c r="C473" s="114"/>
      <c r="D473" s="3"/>
      <c r="E473" s="3"/>
      <c r="F473" s="1"/>
      <c r="G473" s="1"/>
      <c r="H473" s="1"/>
      <c r="I473" s="1"/>
      <c r="J473" s="1"/>
      <c r="K473" s="1"/>
      <c r="L473" s="1"/>
      <c r="M473" s="1"/>
      <c r="N473" s="1"/>
      <c r="O473" s="1"/>
      <c r="P473" s="1"/>
      <c r="Q473" s="1"/>
      <c r="R473" s="1"/>
      <c r="S473" s="1"/>
      <c r="T473" s="1"/>
      <c r="U473" s="1"/>
      <c r="V473" s="1"/>
      <c r="W473" s="1"/>
      <c r="X473" s="1"/>
      <c r="Y473" s="1"/>
    </row>
    <row r="474" spans="1:25">
      <c r="A474" s="9"/>
      <c r="B474" s="8"/>
      <c r="C474" s="114"/>
      <c r="D474" s="3"/>
      <c r="E474" s="3"/>
      <c r="F474" s="1"/>
      <c r="G474" s="1"/>
      <c r="H474" s="1"/>
      <c r="I474" s="1"/>
      <c r="J474" s="1"/>
      <c r="K474" s="1"/>
      <c r="L474" s="1"/>
      <c r="M474" s="1"/>
      <c r="N474" s="1"/>
      <c r="O474" s="1"/>
      <c r="P474" s="1"/>
      <c r="Q474" s="1"/>
      <c r="R474" s="1"/>
      <c r="S474" s="1"/>
      <c r="T474" s="1"/>
      <c r="U474" s="1"/>
      <c r="V474" s="1"/>
      <c r="W474" s="1"/>
      <c r="X474" s="1"/>
      <c r="Y474" s="1"/>
    </row>
    <row r="475" spans="1:25">
      <c r="A475" s="9"/>
      <c r="B475" s="8"/>
      <c r="C475" s="114"/>
      <c r="D475" s="3"/>
      <c r="E475" s="3"/>
      <c r="F475" s="1"/>
      <c r="G475" s="1"/>
      <c r="H475" s="1"/>
      <c r="I475" s="1"/>
      <c r="J475" s="1"/>
      <c r="K475" s="1"/>
      <c r="L475" s="1"/>
      <c r="M475" s="1"/>
      <c r="N475" s="1"/>
      <c r="O475" s="1"/>
      <c r="P475" s="1"/>
      <c r="Q475" s="1"/>
      <c r="R475" s="1"/>
      <c r="S475" s="1"/>
      <c r="T475" s="1"/>
      <c r="U475" s="1"/>
      <c r="V475" s="1"/>
      <c r="W475" s="1"/>
      <c r="X475" s="1"/>
      <c r="Y475" s="1"/>
    </row>
    <row r="476" spans="1:25">
      <c r="A476" s="9"/>
      <c r="B476" s="8"/>
      <c r="C476" s="114"/>
      <c r="D476" s="3"/>
      <c r="E476" s="3"/>
      <c r="F476" s="1"/>
      <c r="G476" s="1"/>
      <c r="H476" s="1"/>
      <c r="I476" s="1"/>
      <c r="J476" s="1"/>
      <c r="K476" s="1"/>
      <c r="L476" s="1"/>
      <c r="M476" s="1"/>
      <c r="N476" s="1"/>
      <c r="O476" s="1"/>
      <c r="P476" s="1"/>
      <c r="Q476" s="1"/>
      <c r="R476" s="1"/>
      <c r="S476" s="1"/>
      <c r="T476" s="1"/>
      <c r="U476" s="1"/>
      <c r="V476" s="1"/>
      <c r="W476" s="1"/>
      <c r="X476" s="1"/>
      <c r="Y476" s="1"/>
    </row>
    <row r="477" spans="1:25">
      <c r="A477" s="9"/>
      <c r="B477" s="8"/>
      <c r="C477" s="114"/>
      <c r="D477" s="3"/>
      <c r="E477" s="3"/>
      <c r="F477" s="1"/>
      <c r="G477" s="1"/>
      <c r="H477" s="1"/>
      <c r="I477" s="1"/>
      <c r="J477" s="1"/>
      <c r="K477" s="1"/>
      <c r="L477" s="1"/>
      <c r="M477" s="1"/>
      <c r="N477" s="1"/>
      <c r="O477" s="1"/>
      <c r="P477" s="1"/>
      <c r="Q477" s="1"/>
      <c r="R477" s="1"/>
      <c r="S477" s="1"/>
      <c r="T477" s="1"/>
      <c r="U477" s="1"/>
      <c r="V477" s="1"/>
      <c r="W477" s="1"/>
      <c r="X477" s="1"/>
      <c r="Y477" s="1"/>
    </row>
    <row r="478" spans="1:25">
      <c r="A478" s="9"/>
      <c r="B478" s="8"/>
      <c r="C478" s="114"/>
      <c r="D478" s="3"/>
      <c r="E478" s="3"/>
      <c r="F478" s="1"/>
      <c r="G478" s="1"/>
      <c r="H478" s="1"/>
      <c r="I478" s="1"/>
      <c r="J478" s="1"/>
      <c r="K478" s="1"/>
      <c r="L478" s="1"/>
      <c r="M478" s="1"/>
      <c r="N478" s="1"/>
      <c r="O478" s="1"/>
      <c r="P478" s="1"/>
      <c r="Q478" s="1"/>
      <c r="R478" s="1"/>
      <c r="S478" s="1"/>
      <c r="T478" s="1"/>
      <c r="U478" s="1"/>
      <c r="V478" s="1"/>
      <c r="W478" s="1"/>
      <c r="X478" s="1"/>
      <c r="Y478" s="1"/>
    </row>
    <row r="479" spans="1:25">
      <c r="A479" s="9"/>
      <c r="B479" s="8"/>
      <c r="C479" s="114"/>
      <c r="D479" s="3"/>
      <c r="E479" s="3"/>
      <c r="F479" s="1"/>
      <c r="G479" s="1"/>
      <c r="H479" s="1"/>
      <c r="I479" s="1"/>
      <c r="J479" s="1"/>
      <c r="K479" s="1"/>
      <c r="L479" s="1"/>
      <c r="M479" s="1"/>
      <c r="N479" s="1"/>
      <c r="O479" s="1"/>
      <c r="P479" s="1"/>
      <c r="Q479" s="1"/>
      <c r="R479" s="1"/>
      <c r="S479" s="1"/>
      <c r="T479" s="1"/>
      <c r="U479" s="1"/>
      <c r="V479" s="1"/>
      <c r="W479" s="1"/>
      <c r="X479" s="1"/>
      <c r="Y479" s="1"/>
    </row>
    <row r="480" spans="1:25">
      <c r="A480" s="9"/>
      <c r="B480" s="8"/>
      <c r="C480" s="114"/>
      <c r="D480" s="3"/>
      <c r="E480" s="3"/>
      <c r="F480" s="1"/>
      <c r="G480" s="1"/>
      <c r="H480" s="1"/>
      <c r="I480" s="1"/>
      <c r="J480" s="1"/>
      <c r="K480" s="1"/>
      <c r="L480" s="1"/>
      <c r="M480" s="1"/>
      <c r="N480" s="1"/>
      <c r="O480" s="1"/>
      <c r="P480" s="1"/>
      <c r="Q480" s="1"/>
      <c r="R480" s="1"/>
      <c r="S480" s="1"/>
      <c r="T480" s="1"/>
      <c r="U480" s="1"/>
      <c r="V480" s="1"/>
      <c r="W480" s="1"/>
      <c r="X480" s="1"/>
      <c r="Y480" s="1"/>
    </row>
    <row r="481" spans="1:25">
      <c r="A481" s="9"/>
      <c r="B481" s="8"/>
      <c r="C481" s="114"/>
      <c r="D481" s="3"/>
      <c r="E481" s="3"/>
      <c r="F481" s="1"/>
      <c r="G481" s="1"/>
      <c r="H481" s="1"/>
      <c r="I481" s="1"/>
      <c r="J481" s="1"/>
      <c r="K481" s="1"/>
      <c r="L481" s="1"/>
      <c r="M481" s="1"/>
      <c r="N481" s="1"/>
      <c r="O481" s="1"/>
      <c r="P481" s="1"/>
      <c r="Q481" s="1"/>
      <c r="R481" s="1"/>
      <c r="S481" s="1"/>
      <c r="T481" s="1"/>
      <c r="U481" s="1"/>
      <c r="V481" s="1"/>
      <c r="W481" s="1"/>
      <c r="X481" s="1"/>
      <c r="Y481" s="1"/>
    </row>
    <row r="482" spans="1:25">
      <c r="A482" s="9"/>
      <c r="B482" s="8"/>
      <c r="C482" s="114"/>
      <c r="D482" s="3"/>
      <c r="E482" s="3"/>
      <c r="F482" s="1"/>
      <c r="G482" s="1"/>
      <c r="H482" s="1"/>
      <c r="I482" s="1"/>
      <c r="J482" s="1"/>
      <c r="K482" s="1"/>
      <c r="L482" s="1"/>
      <c r="M482" s="1"/>
      <c r="N482" s="1"/>
      <c r="O482" s="1"/>
      <c r="P482" s="1"/>
      <c r="Q482" s="1"/>
      <c r="R482" s="1"/>
      <c r="S482" s="1"/>
      <c r="T482" s="1"/>
      <c r="U482" s="1"/>
      <c r="V482" s="1"/>
      <c r="W482" s="1"/>
      <c r="X482" s="1"/>
      <c r="Y482" s="1"/>
    </row>
    <row r="483" spans="1:25">
      <c r="A483" s="9"/>
      <c r="B483" s="8"/>
      <c r="C483" s="114"/>
      <c r="D483" s="3"/>
      <c r="E483" s="3"/>
      <c r="F483" s="1"/>
      <c r="G483" s="1"/>
      <c r="H483" s="1"/>
      <c r="I483" s="1"/>
      <c r="J483" s="1"/>
      <c r="K483" s="1"/>
      <c r="L483" s="1"/>
      <c r="M483" s="1"/>
      <c r="N483" s="1"/>
      <c r="O483" s="1"/>
      <c r="P483" s="1"/>
      <c r="Q483" s="1"/>
      <c r="R483" s="1"/>
      <c r="S483" s="1"/>
      <c r="T483" s="1"/>
      <c r="U483" s="1"/>
      <c r="V483" s="1"/>
      <c r="W483" s="1"/>
      <c r="X483" s="1"/>
      <c r="Y483" s="1"/>
    </row>
    <row r="484" spans="1:25">
      <c r="A484" s="9"/>
      <c r="B484" s="8"/>
      <c r="C484" s="114"/>
      <c r="D484" s="3"/>
      <c r="E484" s="3"/>
      <c r="F484" s="1"/>
      <c r="G484" s="1"/>
      <c r="H484" s="1"/>
      <c r="I484" s="1"/>
      <c r="J484" s="1"/>
      <c r="K484" s="1"/>
      <c r="L484" s="1"/>
      <c r="M484" s="1"/>
      <c r="N484" s="1"/>
      <c r="O484" s="1"/>
      <c r="P484" s="1"/>
      <c r="Q484" s="1"/>
      <c r="R484" s="1"/>
      <c r="S484" s="1"/>
      <c r="T484" s="1"/>
      <c r="U484" s="1"/>
      <c r="V484" s="1"/>
      <c r="W484" s="1"/>
      <c r="X484" s="1"/>
      <c r="Y484" s="1"/>
    </row>
    <row r="485" spans="1:25">
      <c r="A485" s="9"/>
      <c r="B485" s="8"/>
      <c r="C485" s="114"/>
      <c r="D485" s="3"/>
      <c r="E485" s="3"/>
      <c r="F485" s="1"/>
      <c r="G485" s="1"/>
      <c r="H485" s="1"/>
      <c r="I485" s="1"/>
      <c r="J485" s="1"/>
      <c r="K485" s="1"/>
      <c r="L485" s="1"/>
      <c r="M485" s="1"/>
      <c r="N485" s="1"/>
      <c r="O485" s="1"/>
      <c r="P485" s="1"/>
      <c r="Q485" s="1"/>
      <c r="R485" s="1"/>
      <c r="S485" s="1"/>
      <c r="T485" s="1"/>
      <c r="U485" s="1"/>
      <c r="V485" s="1"/>
      <c r="W485" s="1"/>
      <c r="X485" s="1"/>
      <c r="Y485" s="1"/>
    </row>
    <row r="486" spans="1:25">
      <c r="A486" s="9"/>
      <c r="B486" s="8"/>
      <c r="C486" s="114"/>
      <c r="D486" s="3"/>
      <c r="E486" s="3"/>
      <c r="F486" s="1"/>
      <c r="G486" s="1"/>
      <c r="H486" s="1"/>
      <c r="I486" s="1"/>
      <c r="J486" s="1"/>
      <c r="K486" s="1"/>
      <c r="L486" s="1"/>
      <c r="M486" s="1"/>
      <c r="N486" s="1"/>
      <c r="O486" s="1"/>
      <c r="P486" s="1"/>
      <c r="Q486" s="1"/>
      <c r="R486" s="1"/>
      <c r="S486" s="1"/>
      <c r="T486" s="1"/>
      <c r="U486" s="1"/>
      <c r="V486" s="1"/>
      <c r="W486" s="1"/>
      <c r="X486" s="1"/>
      <c r="Y486" s="1"/>
    </row>
    <row r="487" spans="1:25">
      <c r="A487" s="9"/>
      <c r="B487" s="8"/>
      <c r="C487" s="114"/>
      <c r="D487" s="3"/>
      <c r="E487" s="3"/>
      <c r="F487" s="1"/>
      <c r="G487" s="1"/>
      <c r="H487" s="1"/>
      <c r="I487" s="1"/>
      <c r="J487" s="1"/>
      <c r="K487" s="1"/>
      <c r="L487" s="1"/>
      <c r="M487" s="1"/>
      <c r="N487" s="1"/>
      <c r="O487" s="1"/>
      <c r="P487" s="1"/>
      <c r="Q487" s="1"/>
      <c r="R487" s="1"/>
      <c r="S487" s="1"/>
      <c r="T487" s="1"/>
      <c r="U487" s="1"/>
      <c r="V487" s="1"/>
      <c r="W487" s="1"/>
      <c r="X487" s="1"/>
      <c r="Y487" s="1"/>
    </row>
    <row r="488" spans="1:25">
      <c r="A488" s="9"/>
      <c r="B488" s="8"/>
      <c r="C488" s="114"/>
      <c r="D488" s="3"/>
      <c r="E488" s="3"/>
      <c r="F488" s="1"/>
      <c r="G488" s="1"/>
      <c r="H488" s="1"/>
      <c r="I488" s="1"/>
      <c r="J488" s="1"/>
      <c r="K488" s="1"/>
      <c r="L488" s="1"/>
      <c r="M488" s="1"/>
      <c r="N488" s="1"/>
      <c r="O488" s="1"/>
      <c r="P488" s="1"/>
      <c r="Q488" s="1"/>
      <c r="R488" s="1"/>
      <c r="S488" s="1"/>
      <c r="T488" s="1"/>
      <c r="U488" s="1"/>
      <c r="V488" s="1"/>
      <c r="W488" s="1"/>
      <c r="X488" s="1"/>
      <c r="Y488" s="1"/>
    </row>
    <row r="489" spans="1:25">
      <c r="A489" s="9"/>
      <c r="B489" s="8"/>
      <c r="C489" s="114"/>
      <c r="D489" s="3"/>
      <c r="E489" s="3"/>
      <c r="F489" s="1"/>
      <c r="G489" s="1"/>
      <c r="H489" s="1"/>
      <c r="I489" s="1"/>
      <c r="J489" s="1"/>
      <c r="K489" s="1"/>
      <c r="L489" s="1"/>
      <c r="M489" s="1"/>
      <c r="N489" s="1"/>
      <c r="O489" s="1"/>
      <c r="P489" s="1"/>
      <c r="Q489" s="1"/>
      <c r="R489" s="1"/>
      <c r="S489" s="1"/>
      <c r="T489" s="1"/>
      <c r="U489" s="1"/>
      <c r="V489" s="1"/>
      <c r="W489" s="1"/>
      <c r="X489" s="1"/>
      <c r="Y489" s="1"/>
    </row>
    <row r="490" spans="1:25">
      <c r="A490" s="9"/>
      <c r="B490" s="8"/>
      <c r="C490" s="114"/>
      <c r="D490" s="3"/>
      <c r="E490" s="3"/>
      <c r="F490" s="1"/>
      <c r="G490" s="1"/>
      <c r="H490" s="1"/>
      <c r="I490" s="1"/>
      <c r="J490" s="1"/>
      <c r="K490" s="1"/>
      <c r="L490" s="1"/>
      <c r="M490" s="1"/>
      <c r="N490" s="1"/>
      <c r="O490" s="1"/>
      <c r="P490" s="1"/>
      <c r="Q490" s="1"/>
      <c r="R490" s="1"/>
      <c r="S490" s="1"/>
      <c r="T490" s="1"/>
      <c r="U490" s="1"/>
      <c r="V490" s="1"/>
      <c r="W490" s="1"/>
      <c r="X490" s="1"/>
      <c r="Y490" s="1"/>
    </row>
    <row r="491" spans="1:25">
      <c r="A491" s="9"/>
      <c r="B491" s="8"/>
      <c r="C491" s="114"/>
      <c r="D491" s="3"/>
      <c r="E491" s="3"/>
      <c r="F491" s="1"/>
      <c r="G491" s="1"/>
      <c r="H491" s="1"/>
      <c r="I491" s="1"/>
      <c r="J491" s="1"/>
      <c r="K491" s="1"/>
      <c r="L491" s="1"/>
      <c r="M491" s="1"/>
      <c r="N491" s="1"/>
      <c r="O491" s="1"/>
      <c r="P491" s="1"/>
      <c r="Q491" s="1"/>
      <c r="R491" s="1"/>
      <c r="S491" s="1"/>
      <c r="T491" s="1"/>
      <c r="U491" s="1"/>
      <c r="V491" s="1"/>
      <c r="W491" s="1"/>
      <c r="X491" s="1"/>
      <c r="Y491" s="1"/>
    </row>
    <row r="492" spans="1:25">
      <c r="A492" s="9"/>
      <c r="B492" s="8"/>
      <c r="C492" s="114"/>
      <c r="D492" s="3"/>
      <c r="E492" s="3"/>
      <c r="F492" s="1"/>
      <c r="G492" s="1"/>
      <c r="H492" s="1"/>
      <c r="I492" s="1"/>
      <c r="J492" s="1"/>
      <c r="K492" s="1"/>
      <c r="L492" s="1"/>
      <c r="M492" s="1"/>
      <c r="N492" s="1"/>
      <c r="O492" s="1"/>
      <c r="P492" s="1"/>
      <c r="Q492" s="1"/>
      <c r="R492" s="1"/>
      <c r="S492" s="1"/>
      <c r="T492" s="1"/>
      <c r="U492" s="1"/>
      <c r="V492" s="1"/>
      <c r="W492" s="1"/>
      <c r="X492" s="1"/>
      <c r="Y492" s="1"/>
    </row>
    <row r="493" spans="1:25">
      <c r="A493" s="9"/>
      <c r="B493" s="8"/>
      <c r="C493" s="114"/>
      <c r="D493" s="3"/>
      <c r="E493" s="3"/>
      <c r="F493" s="1"/>
      <c r="G493" s="1"/>
      <c r="H493" s="1"/>
      <c r="I493" s="1"/>
      <c r="J493" s="1"/>
      <c r="K493" s="1"/>
      <c r="L493" s="1"/>
      <c r="M493" s="1"/>
      <c r="N493" s="1"/>
      <c r="O493" s="1"/>
      <c r="P493" s="1"/>
      <c r="Q493" s="1"/>
      <c r="R493" s="1"/>
      <c r="S493" s="1"/>
      <c r="T493" s="1"/>
      <c r="U493" s="1"/>
      <c r="V493" s="1"/>
      <c r="W493" s="1"/>
      <c r="X493" s="1"/>
      <c r="Y493" s="1"/>
    </row>
    <row r="494" spans="1:25">
      <c r="A494" s="9"/>
      <c r="B494" s="8"/>
      <c r="C494" s="114"/>
      <c r="D494" s="3"/>
      <c r="E494" s="3"/>
      <c r="F494" s="1"/>
      <c r="G494" s="1"/>
      <c r="H494" s="1"/>
      <c r="I494" s="1"/>
      <c r="J494" s="1"/>
      <c r="K494" s="1"/>
      <c r="L494" s="1"/>
      <c r="M494" s="1"/>
      <c r="N494" s="1"/>
      <c r="O494" s="1"/>
      <c r="P494" s="1"/>
      <c r="Q494" s="1"/>
      <c r="R494" s="1"/>
      <c r="S494" s="1"/>
      <c r="T494" s="1"/>
      <c r="U494" s="1"/>
      <c r="V494" s="1"/>
      <c r="W494" s="1"/>
      <c r="X494" s="1"/>
      <c r="Y494" s="1"/>
    </row>
    <row r="495" spans="1:25">
      <c r="A495" s="9"/>
      <c r="B495" s="8"/>
      <c r="C495" s="114"/>
      <c r="D495" s="3"/>
      <c r="E495" s="3"/>
      <c r="F495" s="1"/>
      <c r="G495" s="1"/>
      <c r="H495" s="1"/>
      <c r="I495" s="1"/>
      <c r="J495" s="1"/>
      <c r="K495" s="1"/>
      <c r="L495" s="1"/>
      <c r="M495" s="1"/>
      <c r="N495" s="1"/>
      <c r="O495" s="1"/>
      <c r="P495" s="1"/>
      <c r="Q495" s="1"/>
      <c r="R495" s="1"/>
      <c r="S495" s="1"/>
      <c r="T495" s="1"/>
      <c r="U495" s="1"/>
      <c r="V495" s="1"/>
      <c r="W495" s="1"/>
      <c r="X495" s="1"/>
      <c r="Y495" s="1"/>
    </row>
    <row r="496" spans="1:25">
      <c r="A496" s="9"/>
      <c r="B496" s="8"/>
      <c r="C496" s="114"/>
      <c r="D496" s="3"/>
      <c r="E496" s="3"/>
      <c r="F496" s="1"/>
      <c r="G496" s="1"/>
      <c r="H496" s="1"/>
      <c r="I496" s="1"/>
      <c r="J496" s="1"/>
      <c r="K496" s="1"/>
      <c r="L496" s="1"/>
      <c r="M496" s="1"/>
      <c r="N496" s="1"/>
      <c r="O496" s="1"/>
      <c r="P496" s="1"/>
      <c r="Q496" s="1"/>
      <c r="R496" s="1"/>
      <c r="S496" s="1"/>
      <c r="T496" s="1"/>
      <c r="U496" s="1"/>
      <c r="V496" s="1"/>
      <c r="W496" s="1"/>
      <c r="X496" s="1"/>
      <c r="Y496" s="1"/>
    </row>
    <row r="497" spans="1:25">
      <c r="A497" s="9"/>
      <c r="B497" s="8"/>
      <c r="C497" s="114"/>
      <c r="D497" s="3"/>
      <c r="E497" s="3"/>
      <c r="F497" s="1"/>
      <c r="G497" s="1"/>
      <c r="H497" s="1"/>
      <c r="I497" s="1"/>
      <c r="J497" s="1"/>
      <c r="K497" s="1"/>
      <c r="L497" s="1"/>
      <c r="M497" s="1"/>
      <c r="N497" s="1"/>
      <c r="O497" s="1"/>
      <c r="P497" s="1"/>
      <c r="Q497" s="1"/>
      <c r="R497" s="1"/>
      <c r="S497" s="1"/>
      <c r="T497" s="1"/>
      <c r="U497" s="1"/>
      <c r="V497" s="1"/>
      <c r="W497" s="1"/>
      <c r="X497" s="1"/>
      <c r="Y497" s="1"/>
    </row>
    <row r="498" spans="1:25">
      <c r="A498" s="9"/>
      <c r="B498" s="8"/>
      <c r="C498" s="114"/>
      <c r="D498" s="3"/>
      <c r="E498" s="3"/>
      <c r="F498" s="1"/>
      <c r="G498" s="1"/>
      <c r="H498" s="1"/>
      <c r="I498" s="1"/>
      <c r="J498" s="1"/>
      <c r="K498" s="1"/>
      <c r="L498" s="1"/>
      <c r="M498" s="1"/>
      <c r="N498" s="1"/>
      <c r="O498" s="1"/>
      <c r="P498" s="1"/>
      <c r="Q498" s="1"/>
      <c r="R498" s="1"/>
      <c r="S498" s="1"/>
      <c r="T498" s="1"/>
      <c r="U498" s="1"/>
      <c r="V498" s="1"/>
      <c r="W498" s="1"/>
      <c r="X498" s="1"/>
      <c r="Y498" s="1"/>
    </row>
    <row r="499" spans="1:25">
      <c r="A499" s="9"/>
      <c r="B499" s="8"/>
      <c r="C499" s="114"/>
      <c r="D499" s="3"/>
      <c r="E499" s="3"/>
      <c r="F499" s="1"/>
      <c r="G499" s="1"/>
      <c r="H499" s="1"/>
      <c r="I499" s="1"/>
      <c r="J499" s="1"/>
      <c r="K499" s="1"/>
      <c r="L499" s="1"/>
      <c r="M499" s="1"/>
      <c r="N499" s="1"/>
      <c r="O499" s="1"/>
      <c r="P499" s="1"/>
      <c r="Q499" s="1"/>
      <c r="R499" s="1"/>
      <c r="S499" s="1"/>
      <c r="T499" s="1"/>
      <c r="U499" s="1"/>
      <c r="V499" s="1"/>
      <c r="W499" s="1"/>
      <c r="X499" s="1"/>
      <c r="Y499" s="1"/>
    </row>
    <row r="500" spans="1:25">
      <c r="A500" s="9"/>
      <c r="B500" s="8"/>
      <c r="C500" s="114"/>
      <c r="D500" s="3"/>
      <c r="E500" s="3"/>
      <c r="F500" s="1"/>
      <c r="G500" s="1"/>
      <c r="H500" s="1"/>
      <c r="I500" s="1"/>
      <c r="J500" s="1"/>
      <c r="K500" s="1"/>
      <c r="L500" s="1"/>
      <c r="M500" s="1"/>
      <c r="N500" s="1"/>
      <c r="O500" s="1"/>
      <c r="P500" s="1"/>
      <c r="Q500" s="1"/>
      <c r="R500" s="1"/>
      <c r="S500" s="1"/>
      <c r="T500" s="1"/>
      <c r="U500" s="1"/>
      <c r="V500" s="1"/>
      <c r="W500" s="1"/>
      <c r="X500" s="1"/>
      <c r="Y500" s="1"/>
    </row>
    <row r="501" spans="1:25">
      <c r="A501" s="9"/>
      <c r="B501" s="8"/>
      <c r="C501" s="114"/>
      <c r="D501" s="3"/>
      <c r="E501" s="3"/>
      <c r="F501" s="1"/>
      <c r="G501" s="1"/>
      <c r="H501" s="1"/>
      <c r="I501" s="1"/>
      <c r="J501" s="1"/>
      <c r="K501" s="1"/>
      <c r="L501" s="1"/>
      <c r="M501" s="1"/>
      <c r="N501" s="1"/>
      <c r="O501" s="1"/>
      <c r="P501" s="1"/>
      <c r="Q501" s="1"/>
      <c r="R501" s="1"/>
      <c r="S501" s="1"/>
      <c r="T501" s="1"/>
      <c r="U501" s="1"/>
      <c r="V501" s="1"/>
      <c r="W501" s="1"/>
      <c r="X501" s="1"/>
      <c r="Y501" s="1"/>
    </row>
    <row r="502" spans="1:25">
      <c r="A502" s="9"/>
      <c r="B502" s="8"/>
      <c r="C502" s="114"/>
      <c r="D502" s="3"/>
      <c r="E502" s="3"/>
      <c r="F502" s="1"/>
      <c r="G502" s="1"/>
      <c r="H502" s="1"/>
      <c r="I502" s="1"/>
      <c r="J502" s="1"/>
      <c r="K502" s="1"/>
      <c r="L502" s="1"/>
      <c r="M502" s="1"/>
      <c r="N502" s="1"/>
      <c r="O502" s="1"/>
      <c r="P502" s="1"/>
      <c r="Q502" s="1"/>
      <c r="R502" s="1"/>
      <c r="S502" s="1"/>
      <c r="T502" s="1"/>
      <c r="U502" s="1"/>
      <c r="V502" s="1"/>
      <c r="W502" s="1"/>
      <c r="X502" s="1"/>
      <c r="Y502" s="1"/>
    </row>
    <row r="503" spans="1:25">
      <c r="A503" s="9"/>
      <c r="B503" s="8"/>
      <c r="C503" s="114"/>
      <c r="D503" s="3"/>
      <c r="E503" s="3"/>
      <c r="F503" s="1"/>
      <c r="G503" s="1"/>
      <c r="H503" s="1"/>
      <c r="I503" s="1"/>
      <c r="J503" s="1"/>
      <c r="K503" s="1"/>
      <c r="L503" s="1"/>
      <c r="M503" s="1"/>
      <c r="N503" s="1"/>
      <c r="O503" s="1"/>
      <c r="P503" s="1"/>
      <c r="Q503" s="1"/>
      <c r="R503" s="1"/>
      <c r="S503" s="1"/>
      <c r="T503" s="1"/>
      <c r="U503" s="1"/>
      <c r="V503" s="1"/>
      <c r="W503" s="1"/>
      <c r="X503" s="1"/>
      <c r="Y503" s="1"/>
    </row>
    <row r="504" spans="1:25">
      <c r="A504" s="9"/>
      <c r="B504" s="8"/>
      <c r="C504" s="114"/>
      <c r="D504" s="3"/>
      <c r="E504" s="3"/>
      <c r="F504" s="1"/>
      <c r="G504" s="1"/>
      <c r="H504" s="1"/>
      <c r="I504" s="1"/>
      <c r="J504" s="1"/>
      <c r="K504" s="1"/>
      <c r="L504" s="1"/>
      <c r="M504" s="1"/>
      <c r="N504" s="1"/>
      <c r="O504" s="1"/>
      <c r="P504" s="1"/>
      <c r="Q504" s="1"/>
      <c r="R504" s="1"/>
      <c r="S504" s="1"/>
      <c r="T504" s="1"/>
      <c r="U504" s="1"/>
      <c r="V504" s="1"/>
      <c r="W504" s="1"/>
      <c r="X504" s="1"/>
      <c r="Y504" s="1"/>
    </row>
    <row r="505" spans="1:25">
      <c r="A505" s="9"/>
      <c r="B505" s="8"/>
      <c r="C505" s="114"/>
      <c r="D505" s="3"/>
      <c r="E505" s="3"/>
      <c r="F505" s="1"/>
      <c r="G505" s="1"/>
      <c r="H505" s="1"/>
      <c r="I505" s="1"/>
      <c r="J505" s="1"/>
      <c r="K505" s="1"/>
      <c r="L505" s="1"/>
      <c r="M505" s="1"/>
      <c r="N505" s="1"/>
      <c r="O505" s="1"/>
      <c r="P505" s="1"/>
      <c r="Q505" s="1"/>
      <c r="R505" s="1"/>
      <c r="S505" s="1"/>
      <c r="T505" s="1"/>
      <c r="U505" s="1"/>
      <c r="V505" s="1"/>
      <c r="W505" s="1"/>
      <c r="X505" s="1"/>
      <c r="Y505" s="1"/>
    </row>
    <row r="506" spans="1:25">
      <c r="A506" s="9"/>
      <c r="B506" s="8"/>
      <c r="C506" s="114"/>
      <c r="D506" s="3"/>
      <c r="E506" s="3"/>
      <c r="F506" s="1"/>
      <c r="G506" s="1"/>
      <c r="H506" s="1"/>
      <c r="I506" s="1"/>
      <c r="J506" s="1"/>
      <c r="K506" s="1"/>
      <c r="L506" s="1"/>
      <c r="M506" s="1"/>
      <c r="N506" s="1"/>
      <c r="O506" s="1"/>
      <c r="P506" s="1"/>
      <c r="Q506" s="1"/>
      <c r="R506" s="1"/>
      <c r="S506" s="1"/>
      <c r="T506" s="1"/>
      <c r="U506" s="1"/>
      <c r="V506" s="1"/>
      <c r="W506" s="1"/>
      <c r="X506" s="1"/>
      <c r="Y506" s="1"/>
    </row>
    <row r="507" spans="1:25">
      <c r="A507" s="9"/>
      <c r="B507" s="8"/>
      <c r="C507" s="114"/>
      <c r="D507" s="3"/>
      <c r="E507" s="3"/>
      <c r="F507" s="1"/>
      <c r="G507" s="1"/>
      <c r="H507" s="1"/>
      <c r="I507" s="1"/>
      <c r="J507" s="1"/>
      <c r="K507" s="1"/>
      <c r="L507" s="1"/>
      <c r="M507" s="1"/>
      <c r="N507" s="1"/>
      <c r="O507" s="1"/>
      <c r="P507" s="1"/>
      <c r="Q507" s="1"/>
      <c r="R507" s="1"/>
      <c r="S507" s="1"/>
      <c r="T507" s="1"/>
      <c r="U507" s="1"/>
      <c r="V507" s="1"/>
      <c r="W507" s="1"/>
      <c r="X507" s="1"/>
      <c r="Y507" s="1"/>
    </row>
    <row r="508" spans="1:25">
      <c r="A508" s="9"/>
      <c r="B508" s="8"/>
      <c r="C508" s="114"/>
      <c r="D508" s="3"/>
      <c r="E508" s="3"/>
      <c r="F508" s="1"/>
      <c r="G508" s="1"/>
      <c r="H508" s="1"/>
      <c r="I508" s="1"/>
      <c r="J508" s="1"/>
      <c r="K508" s="1"/>
      <c r="L508" s="1"/>
      <c r="M508" s="1"/>
      <c r="N508" s="1"/>
      <c r="O508" s="1"/>
      <c r="P508" s="1"/>
      <c r="Q508" s="1"/>
      <c r="R508" s="1"/>
      <c r="S508" s="1"/>
      <c r="T508" s="1"/>
      <c r="U508" s="1"/>
      <c r="V508" s="1"/>
      <c r="W508" s="1"/>
      <c r="X508" s="1"/>
      <c r="Y508" s="1"/>
    </row>
    <row r="509" spans="1:25">
      <c r="A509" s="9"/>
      <c r="B509" s="8"/>
      <c r="C509" s="114"/>
      <c r="D509" s="3"/>
      <c r="E509" s="3"/>
      <c r="F509" s="1"/>
      <c r="G509" s="1"/>
      <c r="H509" s="1"/>
      <c r="I509" s="1"/>
      <c r="J509" s="1"/>
      <c r="K509" s="1"/>
      <c r="L509" s="1"/>
      <c r="M509" s="1"/>
      <c r="N509" s="1"/>
      <c r="O509" s="1"/>
      <c r="P509" s="1"/>
      <c r="Q509" s="1"/>
      <c r="R509" s="1"/>
      <c r="S509" s="1"/>
      <c r="T509" s="1"/>
      <c r="U509" s="1"/>
      <c r="V509" s="1"/>
      <c r="W509" s="1"/>
      <c r="X509" s="1"/>
      <c r="Y509" s="1"/>
    </row>
    <row r="510" spans="1:25">
      <c r="A510" s="9"/>
      <c r="B510" s="8"/>
      <c r="C510" s="114"/>
      <c r="D510" s="3"/>
      <c r="E510" s="3"/>
      <c r="F510" s="1"/>
      <c r="G510" s="1"/>
      <c r="H510" s="1"/>
      <c r="I510" s="1"/>
      <c r="J510" s="1"/>
      <c r="K510" s="1"/>
      <c r="L510" s="1"/>
      <c r="M510" s="1"/>
      <c r="N510" s="1"/>
      <c r="O510" s="1"/>
      <c r="P510" s="1"/>
      <c r="Q510" s="1"/>
      <c r="R510" s="1"/>
      <c r="S510" s="1"/>
      <c r="T510" s="1"/>
      <c r="U510" s="1"/>
      <c r="V510" s="1"/>
      <c r="W510" s="1"/>
      <c r="X510" s="1"/>
      <c r="Y510" s="1"/>
    </row>
    <row r="511" spans="1:25">
      <c r="A511" s="9"/>
      <c r="B511" s="8"/>
      <c r="C511" s="114"/>
      <c r="D511" s="3"/>
      <c r="E511" s="3"/>
      <c r="F511" s="1"/>
      <c r="G511" s="1"/>
      <c r="H511" s="1"/>
      <c r="I511" s="1"/>
      <c r="J511" s="1"/>
      <c r="K511" s="1"/>
      <c r="L511" s="1"/>
      <c r="M511" s="1"/>
      <c r="N511" s="1"/>
      <c r="O511" s="1"/>
      <c r="P511" s="1"/>
      <c r="Q511" s="1"/>
      <c r="R511" s="1"/>
      <c r="S511" s="1"/>
      <c r="T511" s="1"/>
      <c r="U511" s="1"/>
      <c r="V511" s="1"/>
      <c r="W511" s="1"/>
      <c r="X511" s="1"/>
      <c r="Y511" s="1"/>
    </row>
    <row r="512" spans="1:25">
      <c r="A512" s="9"/>
      <c r="B512" s="8"/>
      <c r="C512" s="114"/>
      <c r="D512" s="3"/>
      <c r="E512" s="3"/>
      <c r="F512" s="1"/>
      <c r="G512" s="1"/>
      <c r="H512" s="1"/>
      <c r="I512" s="1"/>
      <c r="J512" s="1"/>
      <c r="K512" s="1"/>
      <c r="L512" s="1"/>
      <c r="M512" s="1"/>
      <c r="N512" s="1"/>
      <c r="O512" s="1"/>
      <c r="P512" s="1"/>
      <c r="Q512" s="1"/>
      <c r="R512" s="1"/>
      <c r="S512" s="1"/>
      <c r="T512" s="1"/>
      <c r="U512" s="1"/>
      <c r="V512" s="1"/>
      <c r="W512" s="1"/>
      <c r="X512" s="1"/>
      <c r="Y512" s="1"/>
    </row>
    <row r="513" spans="1:25">
      <c r="A513" s="9"/>
      <c r="B513" s="8"/>
      <c r="C513" s="114"/>
      <c r="D513" s="3"/>
      <c r="E513" s="3"/>
      <c r="F513" s="1"/>
      <c r="G513" s="1"/>
      <c r="H513" s="1"/>
      <c r="I513" s="1"/>
      <c r="J513" s="1"/>
      <c r="K513" s="1"/>
      <c r="L513" s="1"/>
      <c r="M513" s="1"/>
      <c r="N513" s="1"/>
      <c r="O513" s="1"/>
      <c r="P513" s="1"/>
      <c r="Q513" s="1"/>
      <c r="R513" s="1"/>
      <c r="S513" s="1"/>
      <c r="T513" s="1"/>
      <c r="U513" s="1"/>
      <c r="V513" s="1"/>
      <c r="W513" s="1"/>
      <c r="X513" s="1"/>
      <c r="Y513" s="1"/>
    </row>
    <row r="514" spans="1:25">
      <c r="A514" s="9"/>
      <c r="B514" s="8"/>
      <c r="C514" s="114"/>
      <c r="D514" s="3"/>
      <c r="E514" s="3"/>
      <c r="F514" s="1"/>
      <c r="G514" s="1"/>
      <c r="H514" s="1"/>
      <c r="I514" s="1"/>
      <c r="J514" s="1"/>
      <c r="K514" s="1"/>
      <c r="L514" s="1"/>
      <c r="M514" s="1"/>
      <c r="N514" s="1"/>
      <c r="O514" s="1"/>
      <c r="P514" s="1"/>
      <c r="Q514" s="1"/>
      <c r="R514" s="1"/>
      <c r="S514" s="1"/>
      <c r="T514" s="1"/>
      <c r="U514" s="1"/>
      <c r="V514" s="1"/>
      <c r="W514" s="1"/>
      <c r="X514" s="1"/>
      <c r="Y514" s="1"/>
    </row>
    <row r="515" spans="1:25">
      <c r="A515" s="9"/>
      <c r="B515" s="8"/>
      <c r="C515" s="114"/>
      <c r="D515" s="3"/>
      <c r="E515" s="3"/>
      <c r="F515" s="1"/>
      <c r="G515" s="1"/>
      <c r="H515" s="1"/>
      <c r="I515" s="1"/>
      <c r="J515" s="1"/>
      <c r="K515" s="1"/>
      <c r="L515" s="1"/>
      <c r="M515" s="1"/>
      <c r="N515" s="1"/>
      <c r="O515" s="1"/>
      <c r="P515" s="1"/>
      <c r="Q515" s="1"/>
      <c r="R515" s="1"/>
      <c r="S515" s="1"/>
      <c r="T515" s="1"/>
      <c r="U515" s="1"/>
      <c r="V515" s="1"/>
      <c r="W515" s="1"/>
      <c r="X515" s="1"/>
      <c r="Y515" s="1"/>
    </row>
    <row r="516" spans="1:25">
      <c r="A516" s="9"/>
      <c r="B516" s="8"/>
      <c r="C516" s="114"/>
      <c r="D516" s="3"/>
      <c r="E516" s="3"/>
      <c r="F516" s="1"/>
      <c r="G516" s="1"/>
      <c r="H516" s="1"/>
      <c r="I516" s="1"/>
      <c r="J516" s="1"/>
      <c r="K516" s="1"/>
      <c r="L516" s="1"/>
      <c r="M516" s="1"/>
      <c r="N516" s="1"/>
      <c r="O516" s="1"/>
      <c r="P516" s="1"/>
      <c r="Q516" s="1"/>
      <c r="R516" s="1"/>
      <c r="S516" s="1"/>
      <c r="T516" s="1"/>
      <c r="U516" s="1"/>
      <c r="V516" s="1"/>
      <c r="W516" s="1"/>
      <c r="X516" s="1"/>
      <c r="Y516" s="1"/>
    </row>
    <row r="517" spans="1:25">
      <c r="A517" s="9"/>
      <c r="B517" s="8"/>
      <c r="C517" s="114"/>
      <c r="D517" s="3"/>
      <c r="E517" s="3"/>
      <c r="F517" s="1"/>
      <c r="G517" s="1"/>
      <c r="H517" s="1"/>
      <c r="I517" s="1"/>
      <c r="J517" s="1"/>
      <c r="K517" s="1"/>
      <c r="L517" s="1"/>
      <c r="M517" s="1"/>
      <c r="N517" s="1"/>
      <c r="O517" s="1"/>
      <c r="P517" s="1"/>
      <c r="Q517" s="1"/>
      <c r="R517" s="1"/>
      <c r="S517" s="1"/>
      <c r="T517" s="1"/>
      <c r="U517" s="1"/>
      <c r="V517" s="1"/>
      <c r="W517" s="1"/>
      <c r="X517" s="1"/>
      <c r="Y517" s="1"/>
    </row>
    <row r="518" spans="1:25">
      <c r="A518" s="9"/>
      <c r="B518" s="8"/>
      <c r="C518" s="114"/>
      <c r="D518" s="3"/>
      <c r="E518" s="3"/>
      <c r="F518" s="1"/>
      <c r="G518" s="1"/>
      <c r="H518" s="1"/>
      <c r="I518" s="1"/>
      <c r="J518" s="1"/>
      <c r="K518" s="1"/>
      <c r="L518" s="1"/>
      <c r="M518" s="1"/>
      <c r="N518" s="1"/>
      <c r="O518" s="1"/>
      <c r="P518" s="1"/>
      <c r="Q518" s="1"/>
      <c r="R518" s="1"/>
      <c r="S518" s="1"/>
      <c r="T518" s="1"/>
      <c r="U518" s="1"/>
      <c r="V518" s="1"/>
      <c r="W518" s="1"/>
      <c r="X518" s="1"/>
      <c r="Y518" s="1"/>
    </row>
    <row r="519" spans="1:25">
      <c r="A519" s="9"/>
      <c r="B519" s="8"/>
      <c r="C519" s="114"/>
      <c r="D519" s="3"/>
      <c r="E519" s="3"/>
      <c r="F519" s="1"/>
      <c r="G519" s="1"/>
      <c r="H519" s="1"/>
      <c r="I519" s="1"/>
      <c r="J519" s="1"/>
      <c r="K519" s="1"/>
      <c r="L519" s="1"/>
      <c r="M519" s="1"/>
      <c r="N519" s="1"/>
      <c r="O519" s="1"/>
      <c r="P519" s="1"/>
      <c r="Q519" s="1"/>
      <c r="R519" s="1"/>
      <c r="S519" s="1"/>
      <c r="T519" s="1"/>
      <c r="U519" s="1"/>
      <c r="V519" s="1"/>
      <c r="W519" s="1"/>
      <c r="X519" s="1"/>
      <c r="Y519" s="1"/>
    </row>
    <row r="520" spans="1:25">
      <c r="A520" s="9"/>
      <c r="B520" s="8"/>
      <c r="C520" s="114"/>
      <c r="D520" s="3"/>
      <c r="E520" s="3"/>
      <c r="F520" s="1"/>
      <c r="G520" s="1"/>
      <c r="H520" s="1"/>
      <c r="I520" s="1"/>
      <c r="J520" s="1"/>
      <c r="K520" s="1"/>
      <c r="L520" s="1"/>
      <c r="M520" s="1"/>
      <c r="N520" s="1"/>
      <c r="O520" s="1"/>
      <c r="P520" s="1"/>
      <c r="Q520" s="1"/>
      <c r="R520" s="1"/>
      <c r="S520" s="1"/>
      <c r="T520" s="1"/>
      <c r="U520" s="1"/>
      <c r="V520" s="1"/>
      <c r="W520" s="1"/>
      <c r="X520" s="1"/>
      <c r="Y520" s="1"/>
    </row>
    <row r="521" spans="1:25">
      <c r="A521" s="9"/>
      <c r="B521" s="8"/>
      <c r="C521" s="114"/>
      <c r="D521" s="3"/>
      <c r="E521" s="3"/>
      <c r="F521" s="1"/>
      <c r="G521" s="1"/>
      <c r="H521" s="1"/>
      <c r="I521" s="1"/>
      <c r="J521" s="1"/>
      <c r="K521" s="1"/>
      <c r="L521" s="1"/>
      <c r="M521" s="1"/>
      <c r="N521" s="1"/>
      <c r="O521" s="1"/>
      <c r="P521" s="1"/>
      <c r="Q521" s="1"/>
      <c r="R521" s="1"/>
      <c r="S521" s="1"/>
      <c r="T521" s="1"/>
      <c r="U521" s="1"/>
      <c r="V521" s="1"/>
      <c r="W521" s="1"/>
      <c r="X521" s="1"/>
      <c r="Y521" s="1"/>
    </row>
    <row r="522" spans="1:25">
      <c r="A522" s="9"/>
      <c r="B522" s="8"/>
      <c r="C522" s="114"/>
      <c r="D522" s="3"/>
      <c r="E522" s="3"/>
      <c r="F522" s="1"/>
      <c r="G522" s="1"/>
      <c r="H522" s="1"/>
      <c r="I522" s="1"/>
      <c r="J522" s="1"/>
      <c r="K522" s="1"/>
      <c r="L522" s="1"/>
      <c r="M522" s="1"/>
      <c r="N522" s="1"/>
      <c r="O522" s="1"/>
      <c r="P522" s="1"/>
      <c r="Q522" s="1"/>
      <c r="R522" s="1"/>
      <c r="S522" s="1"/>
      <c r="T522" s="1"/>
      <c r="U522" s="1"/>
      <c r="V522" s="1"/>
      <c r="W522" s="1"/>
      <c r="X522" s="1"/>
      <c r="Y522" s="1"/>
    </row>
    <row r="523" spans="1:25">
      <c r="A523" s="9"/>
      <c r="B523" s="8"/>
      <c r="C523" s="114"/>
      <c r="D523" s="3"/>
      <c r="E523" s="3"/>
      <c r="F523" s="1"/>
      <c r="G523" s="1"/>
      <c r="H523" s="1"/>
      <c r="I523" s="1"/>
      <c r="J523" s="1"/>
      <c r="K523" s="1"/>
      <c r="L523" s="1"/>
      <c r="M523" s="1"/>
      <c r="N523" s="1"/>
      <c r="O523" s="1"/>
      <c r="P523" s="1"/>
      <c r="Q523" s="1"/>
      <c r="R523" s="1"/>
      <c r="S523" s="1"/>
      <c r="T523" s="1"/>
      <c r="U523" s="1"/>
      <c r="V523" s="1"/>
      <c r="W523" s="1"/>
      <c r="X523" s="1"/>
      <c r="Y523" s="1"/>
    </row>
    <row r="524" spans="1:25">
      <c r="A524" s="9"/>
      <c r="B524" s="8"/>
      <c r="C524" s="114"/>
      <c r="D524" s="3"/>
      <c r="E524" s="3"/>
      <c r="F524" s="1"/>
      <c r="G524" s="1"/>
      <c r="H524" s="1"/>
      <c r="I524" s="1"/>
      <c r="J524" s="1"/>
      <c r="K524" s="1"/>
      <c r="L524" s="1"/>
      <c r="M524" s="1"/>
      <c r="N524" s="1"/>
      <c r="O524" s="1"/>
      <c r="P524" s="1"/>
      <c r="Q524" s="1"/>
      <c r="R524" s="1"/>
      <c r="S524" s="1"/>
      <c r="T524" s="1"/>
      <c r="U524" s="1"/>
      <c r="V524" s="1"/>
      <c r="W524" s="1"/>
      <c r="X524" s="1"/>
      <c r="Y524" s="1"/>
    </row>
    <row r="525" spans="1:25">
      <c r="A525" s="9"/>
      <c r="B525" s="8"/>
      <c r="C525" s="114"/>
      <c r="D525" s="3"/>
      <c r="E525" s="3"/>
      <c r="F525" s="1"/>
      <c r="G525" s="1"/>
      <c r="H525" s="1"/>
      <c r="I525" s="1"/>
      <c r="J525" s="1"/>
      <c r="K525" s="1"/>
      <c r="L525" s="1"/>
      <c r="M525" s="1"/>
      <c r="N525" s="1"/>
      <c r="O525" s="1"/>
      <c r="P525" s="1"/>
      <c r="Q525" s="1"/>
      <c r="R525" s="1"/>
      <c r="S525" s="1"/>
      <c r="T525" s="1"/>
      <c r="U525" s="1"/>
      <c r="V525" s="1"/>
      <c r="W525" s="1"/>
      <c r="X525" s="1"/>
      <c r="Y525" s="1"/>
    </row>
    <row r="526" spans="1:25">
      <c r="A526" s="9"/>
      <c r="B526" s="8"/>
      <c r="C526" s="114"/>
      <c r="D526" s="3"/>
      <c r="E526" s="3"/>
      <c r="F526" s="1"/>
      <c r="G526" s="1"/>
      <c r="H526" s="1"/>
      <c r="I526" s="1"/>
      <c r="J526" s="1"/>
      <c r="K526" s="1"/>
      <c r="L526" s="1"/>
      <c r="M526" s="1"/>
      <c r="N526" s="1"/>
      <c r="O526" s="1"/>
      <c r="P526" s="1"/>
      <c r="Q526" s="1"/>
      <c r="R526" s="1"/>
      <c r="S526" s="1"/>
      <c r="T526" s="1"/>
      <c r="U526" s="1"/>
      <c r="V526" s="1"/>
      <c r="W526" s="1"/>
      <c r="X526" s="1"/>
      <c r="Y526" s="1"/>
    </row>
    <row r="527" spans="1:25">
      <c r="A527" s="9"/>
      <c r="B527" s="8"/>
      <c r="C527" s="114"/>
      <c r="D527" s="3"/>
      <c r="E527" s="3"/>
      <c r="F527" s="1"/>
      <c r="G527" s="1"/>
      <c r="H527" s="1"/>
      <c r="I527" s="1"/>
      <c r="J527" s="1"/>
      <c r="K527" s="1"/>
      <c r="L527" s="1"/>
      <c r="M527" s="1"/>
      <c r="N527" s="1"/>
      <c r="O527" s="1"/>
      <c r="P527" s="1"/>
      <c r="Q527" s="1"/>
      <c r="R527" s="1"/>
      <c r="S527" s="1"/>
      <c r="T527" s="1"/>
      <c r="U527" s="1"/>
      <c r="V527" s="1"/>
      <c r="W527" s="1"/>
      <c r="X527" s="1"/>
      <c r="Y527" s="1"/>
    </row>
    <row r="528" spans="1:25">
      <c r="A528" s="9"/>
      <c r="B528" s="8"/>
      <c r="C528" s="114"/>
      <c r="D528" s="3"/>
      <c r="E528" s="3"/>
      <c r="F528" s="1"/>
      <c r="G528" s="1"/>
      <c r="H528" s="1"/>
      <c r="I528" s="1"/>
      <c r="J528" s="1"/>
      <c r="K528" s="1"/>
      <c r="L528" s="1"/>
      <c r="M528" s="1"/>
      <c r="N528" s="1"/>
      <c r="O528" s="1"/>
      <c r="P528" s="1"/>
      <c r="Q528" s="1"/>
      <c r="R528" s="1"/>
      <c r="S528" s="1"/>
      <c r="T528" s="1"/>
      <c r="U528" s="1"/>
      <c r="V528" s="1"/>
      <c r="W528" s="1"/>
      <c r="X528" s="1"/>
      <c r="Y528" s="1"/>
    </row>
    <row r="529" spans="1:25">
      <c r="A529" s="9"/>
      <c r="B529" s="8"/>
      <c r="C529" s="114"/>
      <c r="D529" s="3"/>
      <c r="E529" s="3"/>
      <c r="F529" s="1"/>
      <c r="G529" s="1"/>
      <c r="H529" s="1"/>
      <c r="I529" s="1"/>
      <c r="J529" s="1"/>
      <c r="K529" s="1"/>
      <c r="L529" s="1"/>
      <c r="M529" s="1"/>
      <c r="N529" s="1"/>
      <c r="O529" s="1"/>
      <c r="P529" s="1"/>
      <c r="Q529" s="1"/>
      <c r="R529" s="1"/>
      <c r="S529" s="1"/>
      <c r="T529" s="1"/>
      <c r="U529" s="1"/>
      <c r="V529" s="1"/>
      <c r="W529" s="1"/>
      <c r="X529" s="1"/>
      <c r="Y529" s="1"/>
    </row>
    <row r="530" spans="1:25">
      <c r="A530" s="9"/>
      <c r="B530" s="8"/>
      <c r="C530" s="114"/>
      <c r="D530" s="3"/>
      <c r="E530" s="3"/>
      <c r="F530" s="1"/>
      <c r="G530" s="1"/>
      <c r="H530" s="1"/>
      <c r="I530" s="1"/>
      <c r="J530" s="1"/>
      <c r="K530" s="1"/>
      <c r="L530" s="1"/>
      <c r="M530" s="1"/>
      <c r="N530" s="1"/>
      <c r="O530" s="1"/>
      <c r="P530" s="1"/>
      <c r="Q530" s="1"/>
      <c r="R530" s="1"/>
      <c r="S530" s="1"/>
      <c r="T530" s="1"/>
      <c r="U530" s="1"/>
      <c r="V530" s="1"/>
      <c r="W530" s="1"/>
      <c r="X530" s="1"/>
      <c r="Y530" s="1"/>
    </row>
    <row r="531" spans="1:25">
      <c r="A531" s="9"/>
      <c r="B531" s="8"/>
      <c r="C531" s="114"/>
      <c r="D531" s="3"/>
      <c r="E531" s="3"/>
      <c r="F531" s="1"/>
      <c r="G531" s="1"/>
      <c r="H531" s="1"/>
      <c r="I531" s="1"/>
      <c r="J531" s="1"/>
      <c r="K531" s="1"/>
      <c r="L531" s="1"/>
      <c r="M531" s="1"/>
      <c r="N531" s="1"/>
      <c r="O531" s="1"/>
      <c r="P531" s="1"/>
      <c r="Q531" s="1"/>
      <c r="R531" s="1"/>
      <c r="S531" s="1"/>
      <c r="T531" s="1"/>
      <c r="U531" s="1"/>
      <c r="V531" s="1"/>
      <c r="W531" s="1"/>
      <c r="X531" s="1"/>
      <c r="Y531" s="1"/>
    </row>
    <row r="532" spans="1:25">
      <c r="A532" s="9"/>
      <c r="B532" s="8"/>
      <c r="C532" s="114"/>
      <c r="D532" s="3"/>
      <c r="E532" s="3"/>
      <c r="F532" s="1"/>
      <c r="G532" s="1"/>
      <c r="H532" s="1"/>
      <c r="I532" s="1"/>
      <c r="J532" s="1"/>
      <c r="K532" s="1"/>
      <c r="L532" s="1"/>
      <c r="M532" s="1"/>
      <c r="N532" s="1"/>
      <c r="O532" s="1"/>
      <c r="P532" s="1"/>
      <c r="Q532" s="1"/>
      <c r="R532" s="1"/>
      <c r="S532" s="1"/>
      <c r="T532" s="1"/>
      <c r="U532" s="1"/>
      <c r="V532" s="1"/>
      <c r="W532" s="1"/>
      <c r="X532" s="1"/>
      <c r="Y532" s="1"/>
    </row>
    <row r="533" spans="1:25">
      <c r="A533" s="9"/>
      <c r="B533" s="8"/>
      <c r="C533" s="114"/>
      <c r="D533" s="3"/>
      <c r="E533" s="3"/>
      <c r="F533" s="1"/>
      <c r="G533" s="1"/>
      <c r="H533" s="1"/>
      <c r="I533" s="1"/>
      <c r="J533" s="1"/>
      <c r="K533" s="1"/>
      <c r="L533" s="1"/>
      <c r="M533" s="1"/>
      <c r="N533" s="1"/>
      <c r="O533" s="1"/>
      <c r="P533" s="1"/>
      <c r="Q533" s="1"/>
      <c r="R533" s="1"/>
      <c r="S533" s="1"/>
      <c r="T533" s="1"/>
      <c r="U533" s="1"/>
      <c r="V533" s="1"/>
      <c r="W533" s="1"/>
      <c r="X533" s="1"/>
      <c r="Y533" s="1"/>
    </row>
    <row r="534" spans="1:25">
      <c r="A534" s="9"/>
      <c r="B534" s="8"/>
      <c r="C534" s="114"/>
      <c r="D534" s="3"/>
      <c r="E534" s="3"/>
      <c r="F534" s="1"/>
      <c r="G534" s="1"/>
      <c r="H534" s="1"/>
      <c r="I534" s="1"/>
      <c r="J534" s="1"/>
      <c r="K534" s="1"/>
      <c r="L534" s="1"/>
      <c r="M534" s="1"/>
      <c r="N534" s="1"/>
      <c r="O534" s="1"/>
      <c r="P534" s="1"/>
      <c r="Q534" s="1"/>
      <c r="R534" s="1"/>
      <c r="S534" s="1"/>
      <c r="T534" s="1"/>
      <c r="U534" s="1"/>
      <c r="V534" s="1"/>
      <c r="W534" s="1"/>
      <c r="X534" s="1"/>
      <c r="Y534" s="1"/>
    </row>
    <row r="535" spans="1:25">
      <c r="A535" s="9"/>
      <c r="B535" s="8"/>
      <c r="C535" s="114"/>
      <c r="D535" s="3"/>
      <c r="E535" s="3"/>
      <c r="F535" s="1"/>
      <c r="G535" s="1"/>
      <c r="H535" s="1"/>
      <c r="I535" s="1"/>
      <c r="J535" s="1"/>
      <c r="K535" s="1"/>
      <c r="L535" s="1"/>
      <c r="M535" s="1"/>
      <c r="N535" s="1"/>
      <c r="O535" s="1"/>
      <c r="P535" s="1"/>
      <c r="Q535" s="1"/>
      <c r="R535" s="1"/>
      <c r="S535" s="1"/>
      <c r="T535" s="1"/>
      <c r="U535" s="1"/>
      <c r="V535" s="1"/>
      <c r="W535" s="1"/>
      <c r="X535" s="1"/>
      <c r="Y535" s="1"/>
    </row>
    <row r="536" spans="1:25">
      <c r="A536" s="9"/>
      <c r="B536" s="8"/>
      <c r="C536" s="114"/>
      <c r="D536" s="3"/>
      <c r="E536" s="3"/>
      <c r="F536" s="1"/>
      <c r="G536" s="1"/>
      <c r="H536" s="1"/>
      <c r="I536" s="1"/>
      <c r="J536" s="1"/>
      <c r="K536" s="1"/>
      <c r="L536" s="1"/>
      <c r="M536" s="1"/>
      <c r="N536" s="1"/>
      <c r="O536" s="1"/>
      <c r="P536" s="1"/>
      <c r="Q536" s="1"/>
      <c r="R536" s="1"/>
      <c r="S536" s="1"/>
      <c r="T536" s="1"/>
      <c r="U536" s="1"/>
      <c r="V536" s="1"/>
      <c r="W536" s="1"/>
      <c r="X536" s="1"/>
      <c r="Y536" s="1"/>
    </row>
    <row r="537" spans="1:25">
      <c r="A537" s="9"/>
      <c r="B537" s="8"/>
      <c r="C537" s="114"/>
      <c r="D537" s="3"/>
      <c r="E537" s="3"/>
      <c r="F537" s="1"/>
      <c r="G537" s="1"/>
      <c r="H537" s="1"/>
      <c r="I537" s="1"/>
      <c r="J537" s="1"/>
      <c r="K537" s="1"/>
      <c r="L537" s="1"/>
      <c r="M537" s="1"/>
      <c r="N537" s="1"/>
      <c r="O537" s="1"/>
      <c r="P537" s="1"/>
      <c r="Q537" s="1"/>
      <c r="R537" s="1"/>
      <c r="S537" s="1"/>
      <c r="T537" s="1"/>
      <c r="U537" s="1"/>
      <c r="V537" s="1"/>
      <c r="W537" s="1"/>
      <c r="X537" s="1"/>
      <c r="Y537" s="1"/>
    </row>
    <row r="538" spans="1:25">
      <c r="A538" s="9"/>
      <c r="B538" s="8"/>
      <c r="C538" s="114"/>
      <c r="D538" s="3"/>
      <c r="E538" s="3"/>
      <c r="F538" s="1"/>
      <c r="G538" s="1"/>
      <c r="H538" s="1"/>
      <c r="I538" s="1"/>
      <c r="J538" s="1"/>
      <c r="K538" s="1"/>
      <c r="L538" s="1"/>
      <c r="M538" s="1"/>
      <c r="N538" s="1"/>
      <c r="O538" s="1"/>
      <c r="P538" s="1"/>
      <c r="Q538" s="1"/>
      <c r="R538" s="1"/>
      <c r="S538" s="1"/>
      <c r="T538" s="1"/>
      <c r="U538" s="1"/>
      <c r="V538" s="1"/>
      <c r="W538" s="1"/>
      <c r="X538" s="1"/>
      <c r="Y538" s="1"/>
    </row>
    <row r="539" spans="1:25">
      <c r="A539" s="9"/>
      <c r="B539" s="8"/>
      <c r="C539" s="114"/>
      <c r="D539" s="3"/>
      <c r="E539" s="3"/>
      <c r="F539" s="1"/>
      <c r="G539" s="1"/>
      <c r="H539" s="1"/>
      <c r="I539" s="1"/>
      <c r="J539" s="1"/>
      <c r="K539" s="1"/>
      <c r="L539" s="1"/>
      <c r="M539" s="1"/>
      <c r="N539" s="1"/>
      <c r="O539" s="1"/>
      <c r="P539" s="1"/>
      <c r="Q539" s="1"/>
      <c r="R539" s="1"/>
      <c r="S539" s="1"/>
      <c r="T539" s="1"/>
      <c r="U539" s="1"/>
      <c r="V539" s="1"/>
      <c r="W539" s="1"/>
      <c r="X539" s="1"/>
      <c r="Y539" s="1"/>
    </row>
    <row r="540" spans="1:25">
      <c r="A540" s="9"/>
      <c r="B540" s="8"/>
      <c r="C540" s="114"/>
      <c r="D540" s="3"/>
      <c r="E540" s="3"/>
      <c r="F540" s="1"/>
      <c r="G540" s="1"/>
      <c r="H540" s="1"/>
      <c r="I540" s="1"/>
      <c r="J540" s="1"/>
      <c r="K540" s="1"/>
      <c r="L540" s="1"/>
      <c r="M540" s="1"/>
      <c r="N540" s="1"/>
      <c r="O540" s="1"/>
      <c r="P540" s="1"/>
      <c r="Q540" s="1"/>
      <c r="R540" s="1"/>
      <c r="S540" s="1"/>
      <c r="T540" s="1"/>
      <c r="U540" s="1"/>
      <c r="V540" s="1"/>
      <c r="W540" s="1"/>
      <c r="X540" s="1"/>
      <c r="Y540" s="1"/>
    </row>
    <row r="541" spans="1:25">
      <c r="A541" s="9"/>
      <c r="B541" s="8"/>
      <c r="C541" s="114"/>
      <c r="D541" s="3"/>
      <c r="E541" s="3"/>
      <c r="F541" s="1"/>
      <c r="G541" s="1"/>
      <c r="H541" s="1"/>
      <c r="I541" s="1"/>
      <c r="J541" s="1"/>
      <c r="K541" s="1"/>
      <c r="L541" s="1"/>
      <c r="M541" s="1"/>
      <c r="N541" s="1"/>
      <c r="O541" s="1"/>
      <c r="P541" s="1"/>
      <c r="Q541" s="1"/>
      <c r="R541" s="1"/>
      <c r="S541" s="1"/>
      <c r="T541" s="1"/>
      <c r="U541" s="1"/>
      <c r="V541" s="1"/>
      <c r="W541" s="1"/>
      <c r="X541" s="1"/>
      <c r="Y541" s="1"/>
    </row>
    <row r="542" spans="1:25">
      <c r="A542" s="9"/>
      <c r="B542" s="8"/>
      <c r="C542" s="114"/>
      <c r="D542" s="3"/>
      <c r="E542" s="3"/>
      <c r="F542" s="1"/>
      <c r="G542" s="1"/>
      <c r="H542" s="1"/>
      <c r="I542" s="1"/>
      <c r="J542" s="1"/>
      <c r="K542" s="1"/>
      <c r="L542" s="1"/>
      <c r="M542" s="1"/>
      <c r="N542" s="1"/>
      <c r="O542" s="1"/>
      <c r="P542" s="1"/>
      <c r="Q542" s="1"/>
      <c r="R542" s="1"/>
      <c r="S542" s="1"/>
      <c r="T542" s="1"/>
      <c r="U542" s="1"/>
      <c r="V542" s="1"/>
      <c r="W542" s="1"/>
      <c r="X542" s="1"/>
      <c r="Y542" s="1"/>
    </row>
    <row r="543" spans="1:25">
      <c r="A543" s="9"/>
      <c r="B543" s="8"/>
      <c r="C543" s="114"/>
      <c r="D543" s="3"/>
      <c r="E543" s="3"/>
      <c r="F543" s="1"/>
      <c r="G543" s="1"/>
      <c r="H543" s="1"/>
      <c r="I543" s="1"/>
      <c r="J543" s="1"/>
      <c r="K543" s="1"/>
      <c r="L543" s="1"/>
      <c r="M543" s="1"/>
      <c r="N543" s="1"/>
      <c r="O543" s="1"/>
      <c r="P543" s="1"/>
      <c r="Q543" s="1"/>
      <c r="R543" s="1"/>
      <c r="S543" s="1"/>
      <c r="T543" s="1"/>
      <c r="U543" s="1"/>
      <c r="V543" s="1"/>
      <c r="W543" s="1"/>
      <c r="X543" s="1"/>
      <c r="Y543" s="1"/>
    </row>
    <row r="544" spans="1:25">
      <c r="A544" s="9"/>
      <c r="B544" s="8"/>
      <c r="C544" s="114"/>
      <c r="D544" s="3"/>
      <c r="E544" s="3"/>
      <c r="F544" s="1"/>
      <c r="G544" s="1"/>
      <c r="H544" s="1"/>
      <c r="I544" s="1"/>
      <c r="J544" s="1"/>
      <c r="K544" s="1"/>
      <c r="L544" s="1"/>
      <c r="M544" s="1"/>
      <c r="N544" s="1"/>
      <c r="O544" s="1"/>
      <c r="P544" s="1"/>
      <c r="Q544" s="1"/>
      <c r="R544" s="1"/>
      <c r="S544" s="1"/>
      <c r="T544" s="1"/>
      <c r="U544" s="1"/>
      <c r="V544" s="1"/>
      <c r="W544" s="1"/>
      <c r="X544" s="1"/>
      <c r="Y544" s="1"/>
    </row>
    <row r="545" spans="1:25">
      <c r="A545" s="9"/>
      <c r="B545" s="8"/>
      <c r="C545" s="114"/>
      <c r="D545" s="3"/>
      <c r="E545" s="3"/>
      <c r="F545" s="1"/>
      <c r="G545" s="1"/>
      <c r="H545" s="1"/>
      <c r="I545" s="1"/>
      <c r="J545" s="1"/>
      <c r="K545" s="1"/>
      <c r="L545" s="1"/>
      <c r="M545" s="1"/>
      <c r="N545" s="1"/>
      <c r="O545" s="1"/>
      <c r="P545" s="1"/>
      <c r="Q545" s="1"/>
      <c r="R545" s="1"/>
      <c r="S545" s="1"/>
      <c r="T545" s="1"/>
      <c r="U545" s="1"/>
      <c r="V545" s="1"/>
      <c r="W545" s="1"/>
      <c r="X545" s="1"/>
      <c r="Y545" s="1"/>
    </row>
    <row r="546" spans="1:25">
      <c r="A546" s="9"/>
      <c r="B546" s="8"/>
      <c r="C546" s="114"/>
      <c r="D546" s="3"/>
      <c r="E546" s="3"/>
      <c r="F546" s="1"/>
      <c r="G546" s="1"/>
      <c r="H546" s="1"/>
      <c r="I546" s="1"/>
      <c r="J546" s="1"/>
      <c r="K546" s="1"/>
      <c r="L546" s="1"/>
      <c r="M546" s="1"/>
      <c r="N546" s="1"/>
      <c r="O546" s="1"/>
      <c r="P546" s="1"/>
      <c r="Q546" s="1"/>
      <c r="R546" s="1"/>
      <c r="S546" s="1"/>
      <c r="T546" s="1"/>
      <c r="U546" s="1"/>
      <c r="V546" s="1"/>
      <c r="W546" s="1"/>
      <c r="X546" s="1"/>
      <c r="Y546" s="1"/>
    </row>
    <row r="547" spans="1:25">
      <c r="A547" s="9"/>
      <c r="B547" s="8"/>
      <c r="C547" s="114"/>
      <c r="D547" s="3"/>
      <c r="E547" s="3"/>
      <c r="F547" s="1"/>
      <c r="G547" s="1"/>
      <c r="H547" s="1"/>
      <c r="I547" s="1"/>
      <c r="J547" s="1"/>
      <c r="K547" s="1"/>
      <c r="L547" s="1"/>
      <c r="M547" s="1"/>
      <c r="N547" s="1"/>
      <c r="O547" s="1"/>
      <c r="P547" s="1"/>
      <c r="Q547" s="1"/>
      <c r="R547" s="1"/>
      <c r="S547" s="1"/>
      <c r="T547" s="1"/>
      <c r="U547" s="1"/>
      <c r="V547" s="1"/>
      <c r="W547" s="1"/>
      <c r="X547" s="1"/>
      <c r="Y547" s="1"/>
    </row>
    <row r="548" spans="1:25">
      <c r="A548" s="9"/>
      <c r="B548" s="8"/>
      <c r="C548" s="114"/>
      <c r="D548" s="3"/>
      <c r="E548" s="3"/>
      <c r="F548" s="1"/>
      <c r="G548" s="1"/>
      <c r="H548" s="1"/>
      <c r="I548" s="1"/>
      <c r="J548" s="1"/>
      <c r="K548" s="1"/>
      <c r="L548" s="1"/>
      <c r="M548" s="1"/>
      <c r="N548" s="1"/>
      <c r="O548" s="1"/>
      <c r="P548" s="1"/>
      <c r="Q548" s="1"/>
      <c r="R548" s="1"/>
      <c r="S548" s="1"/>
      <c r="T548" s="1"/>
      <c r="U548" s="1"/>
      <c r="V548" s="1"/>
      <c r="W548" s="1"/>
      <c r="X548" s="1"/>
      <c r="Y548" s="1"/>
    </row>
    <row r="549" spans="1:25">
      <c r="A549" s="9"/>
      <c r="B549" s="8"/>
      <c r="C549" s="114"/>
      <c r="D549" s="3"/>
      <c r="E549" s="3"/>
      <c r="F549" s="1"/>
      <c r="G549" s="1"/>
      <c r="H549" s="1"/>
      <c r="I549" s="1"/>
      <c r="J549" s="1"/>
      <c r="K549" s="1"/>
      <c r="L549" s="1"/>
      <c r="M549" s="1"/>
      <c r="N549" s="1"/>
      <c r="O549" s="1"/>
      <c r="P549" s="1"/>
      <c r="Q549" s="1"/>
      <c r="R549" s="1"/>
      <c r="S549" s="1"/>
      <c r="T549" s="1"/>
      <c r="U549" s="1"/>
      <c r="V549" s="1"/>
      <c r="W549" s="1"/>
      <c r="X549" s="1"/>
      <c r="Y549" s="1"/>
    </row>
    <row r="550" spans="1:25">
      <c r="A550" s="9"/>
      <c r="B550" s="8"/>
      <c r="C550" s="114"/>
      <c r="D550" s="3"/>
      <c r="E550" s="3"/>
      <c r="F550" s="1"/>
      <c r="G550" s="1"/>
      <c r="H550" s="1"/>
      <c r="I550" s="1"/>
      <c r="J550" s="1"/>
      <c r="K550" s="1"/>
      <c r="L550" s="1"/>
      <c r="M550" s="1"/>
      <c r="N550" s="1"/>
      <c r="O550" s="1"/>
      <c r="P550" s="1"/>
      <c r="Q550" s="1"/>
      <c r="R550" s="1"/>
      <c r="S550" s="1"/>
      <c r="T550" s="1"/>
      <c r="U550" s="1"/>
      <c r="V550" s="1"/>
      <c r="W550" s="1"/>
      <c r="X550" s="1"/>
      <c r="Y550" s="1"/>
    </row>
    <row r="551" spans="1:25">
      <c r="A551" s="9"/>
      <c r="B551" s="8"/>
      <c r="C551" s="114"/>
      <c r="D551" s="3"/>
      <c r="E551" s="3"/>
      <c r="F551" s="1"/>
      <c r="G551" s="1"/>
      <c r="H551" s="1"/>
      <c r="I551" s="1"/>
      <c r="J551" s="1"/>
      <c r="K551" s="1"/>
      <c r="L551" s="1"/>
      <c r="M551" s="1"/>
      <c r="N551" s="1"/>
      <c r="O551" s="1"/>
      <c r="P551" s="1"/>
      <c r="Q551" s="1"/>
      <c r="R551" s="1"/>
      <c r="S551" s="1"/>
      <c r="T551" s="1"/>
      <c r="U551" s="1"/>
      <c r="V551" s="1"/>
      <c r="W551" s="1"/>
      <c r="X551" s="1"/>
      <c r="Y551" s="1"/>
    </row>
    <row r="552" spans="1:25">
      <c r="A552" s="9"/>
      <c r="B552" s="8"/>
      <c r="C552" s="114"/>
      <c r="D552" s="3"/>
      <c r="E552" s="3"/>
      <c r="F552" s="1"/>
      <c r="G552" s="1"/>
      <c r="H552" s="1"/>
      <c r="I552" s="1"/>
      <c r="J552" s="1"/>
      <c r="K552" s="1"/>
      <c r="L552" s="1"/>
      <c r="M552" s="1"/>
      <c r="N552" s="1"/>
      <c r="O552" s="1"/>
      <c r="P552" s="1"/>
      <c r="Q552" s="1"/>
      <c r="R552" s="1"/>
      <c r="S552" s="1"/>
      <c r="T552" s="1"/>
      <c r="U552" s="1"/>
      <c r="V552" s="1"/>
      <c r="W552" s="1"/>
      <c r="X552" s="1"/>
      <c r="Y552" s="1"/>
    </row>
    <row r="553" spans="1:25">
      <c r="A553" s="9"/>
      <c r="B553" s="8"/>
      <c r="C553" s="114"/>
      <c r="D553" s="3"/>
      <c r="E553" s="3"/>
      <c r="F553" s="1"/>
      <c r="G553" s="1"/>
      <c r="H553" s="1"/>
      <c r="I553" s="1"/>
      <c r="J553" s="1"/>
      <c r="K553" s="1"/>
      <c r="L553" s="1"/>
      <c r="M553" s="1"/>
      <c r="N553" s="1"/>
      <c r="O553" s="1"/>
      <c r="P553" s="1"/>
      <c r="Q553" s="1"/>
      <c r="R553" s="1"/>
      <c r="S553" s="1"/>
      <c r="T553" s="1"/>
      <c r="U553" s="1"/>
      <c r="V553" s="1"/>
      <c r="W553" s="1"/>
      <c r="X553" s="1"/>
      <c r="Y553" s="1"/>
    </row>
    <row r="554" spans="1:25">
      <c r="A554" s="9"/>
      <c r="B554" s="8"/>
      <c r="C554" s="114"/>
      <c r="D554" s="3"/>
      <c r="E554" s="3"/>
      <c r="F554" s="1"/>
      <c r="G554" s="1"/>
      <c r="H554" s="1"/>
      <c r="I554" s="1"/>
      <c r="J554" s="1"/>
      <c r="K554" s="1"/>
      <c r="L554" s="1"/>
      <c r="M554" s="1"/>
      <c r="N554" s="1"/>
      <c r="O554" s="1"/>
      <c r="P554" s="1"/>
      <c r="Q554" s="1"/>
      <c r="R554" s="1"/>
      <c r="S554" s="1"/>
      <c r="T554" s="1"/>
      <c r="U554" s="1"/>
      <c r="V554" s="1"/>
      <c r="W554" s="1"/>
      <c r="X554" s="1"/>
      <c r="Y554" s="1"/>
    </row>
    <row r="555" spans="1:25">
      <c r="A555" s="9"/>
      <c r="B555" s="8"/>
      <c r="C555" s="114"/>
      <c r="D555" s="3"/>
      <c r="E555" s="3"/>
      <c r="F555" s="1"/>
      <c r="G555" s="1"/>
      <c r="H555" s="1"/>
      <c r="I555" s="1"/>
      <c r="J555" s="1"/>
      <c r="K555" s="1"/>
      <c r="L555" s="1"/>
      <c r="M555" s="1"/>
      <c r="N555" s="1"/>
      <c r="O555" s="1"/>
      <c r="P555" s="1"/>
      <c r="Q555" s="1"/>
      <c r="R555" s="1"/>
      <c r="S555" s="1"/>
      <c r="T555" s="1"/>
      <c r="U555" s="1"/>
      <c r="V555" s="1"/>
      <c r="W555" s="1"/>
      <c r="X555" s="1"/>
      <c r="Y555" s="1"/>
    </row>
    <row r="556" spans="1:25">
      <c r="A556" s="9"/>
      <c r="B556" s="8"/>
      <c r="C556" s="114"/>
      <c r="D556" s="3"/>
      <c r="E556" s="3"/>
      <c r="F556" s="1"/>
      <c r="G556" s="1"/>
      <c r="H556" s="1"/>
      <c r="I556" s="1"/>
      <c r="J556" s="1"/>
      <c r="K556" s="1"/>
      <c r="L556" s="1"/>
      <c r="M556" s="1"/>
      <c r="N556" s="1"/>
      <c r="O556" s="1"/>
      <c r="P556" s="1"/>
      <c r="Q556" s="1"/>
      <c r="R556" s="1"/>
      <c r="S556" s="1"/>
      <c r="T556" s="1"/>
      <c r="U556" s="1"/>
      <c r="V556" s="1"/>
      <c r="W556" s="1"/>
      <c r="X556" s="1"/>
      <c r="Y556" s="1"/>
    </row>
    <row r="557" spans="1:25">
      <c r="A557" s="9"/>
      <c r="B557" s="8"/>
      <c r="C557" s="114"/>
      <c r="D557" s="3"/>
      <c r="E557" s="3"/>
      <c r="F557" s="1"/>
      <c r="G557" s="1"/>
      <c r="H557" s="1"/>
      <c r="I557" s="1"/>
      <c r="J557" s="1"/>
      <c r="K557" s="1"/>
      <c r="L557" s="1"/>
      <c r="M557" s="1"/>
      <c r="N557" s="1"/>
      <c r="O557" s="1"/>
      <c r="P557" s="1"/>
      <c r="Q557" s="1"/>
      <c r="R557" s="1"/>
      <c r="S557" s="1"/>
      <c r="T557" s="1"/>
      <c r="U557" s="1"/>
      <c r="V557" s="1"/>
      <c r="W557" s="1"/>
      <c r="X557" s="1"/>
      <c r="Y557" s="1"/>
    </row>
    <row r="558" spans="1:25">
      <c r="A558" s="9"/>
      <c r="B558" s="8"/>
      <c r="C558" s="114"/>
      <c r="D558" s="3"/>
      <c r="E558" s="3"/>
      <c r="F558" s="1"/>
      <c r="G558" s="1"/>
      <c r="H558" s="1"/>
      <c r="I558" s="1"/>
      <c r="J558" s="1"/>
      <c r="K558" s="1"/>
      <c r="L558" s="1"/>
      <c r="M558" s="1"/>
      <c r="N558" s="1"/>
      <c r="O558" s="1"/>
      <c r="P558" s="1"/>
      <c r="Q558" s="1"/>
      <c r="R558" s="1"/>
      <c r="S558" s="1"/>
      <c r="T558" s="1"/>
      <c r="U558" s="1"/>
      <c r="V558" s="1"/>
      <c r="W558" s="1"/>
      <c r="X558" s="1"/>
      <c r="Y558" s="1"/>
    </row>
    <row r="559" spans="1:25">
      <c r="A559" s="9"/>
      <c r="B559" s="8"/>
      <c r="C559" s="114"/>
      <c r="D559" s="3"/>
      <c r="E559" s="3"/>
      <c r="F559" s="1"/>
      <c r="G559" s="1"/>
      <c r="H559" s="1"/>
      <c r="I559" s="1"/>
      <c r="J559" s="1"/>
      <c r="K559" s="1"/>
      <c r="L559" s="1"/>
      <c r="M559" s="1"/>
      <c r="N559" s="1"/>
      <c r="O559" s="1"/>
      <c r="P559" s="1"/>
      <c r="Q559" s="1"/>
      <c r="R559" s="1"/>
      <c r="S559" s="1"/>
      <c r="T559" s="1"/>
      <c r="U559" s="1"/>
      <c r="V559" s="1"/>
      <c r="W559" s="1"/>
      <c r="X559" s="1"/>
      <c r="Y559" s="1"/>
    </row>
    <row r="560" spans="1:25">
      <c r="A560" s="9"/>
      <c r="B560" s="8"/>
      <c r="C560" s="114"/>
      <c r="D560" s="3"/>
      <c r="E560" s="3"/>
      <c r="F560" s="1"/>
      <c r="G560" s="1"/>
      <c r="H560" s="1"/>
      <c r="I560" s="1"/>
      <c r="J560" s="1"/>
      <c r="K560" s="1"/>
      <c r="L560" s="1"/>
      <c r="M560" s="1"/>
      <c r="N560" s="1"/>
      <c r="O560" s="1"/>
      <c r="P560" s="1"/>
      <c r="Q560" s="1"/>
      <c r="R560" s="1"/>
      <c r="S560" s="1"/>
      <c r="T560" s="1"/>
      <c r="U560" s="1"/>
      <c r="V560" s="1"/>
      <c r="W560" s="1"/>
      <c r="X560" s="1"/>
      <c r="Y560" s="1"/>
    </row>
    <row r="561" spans="1:25">
      <c r="A561" s="9"/>
      <c r="B561" s="8"/>
      <c r="C561" s="114"/>
      <c r="D561" s="3"/>
      <c r="E561" s="3"/>
      <c r="F561" s="1"/>
      <c r="G561" s="1"/>
      <c r="H561" s="1"/>
      <c r="I561" s="1"/>
      <c r="J561" s="1"/>
      <c r="K561" s="1"/>
      <c r="L561" s="1"/>
      <c r="M561" s="1"/>
      <c r="N561" s="1"/>
      <c r="O561" s="1"/>
      <c r="P561" s="1"/>
      <c r="Q561" s="1"/>
      <c r="R561" s="1"/>
      <c r="S561" s="1"/>
      <c r="T561" s="1"/>
      <c r="U561" s="1"/>
      <c r="V561" s="1"/>
      <c r="W561" s="1"/>
      <c r="X561" s="1"/>
      <c r="Y561" s="1"/>
    </row>
    <row r="562" spans="1:25">
      <c r="A562" s="9"/>
      <c r="B562" s="8"/>
      <c r="C562" s="114"/>
      <c r="D562" s="3"/>
      <c r="E562" s="3"/>
      <c r="F562" s="1"/>
      <c r="G562" s="1"/>
      <c r="H562" s="1"/>
      <c r="I562" s="1"/>
      <c r="J562" s="1"/>
      <c r="K562" s="1"/>
      <c r="L562" s="1"/>
      <c r="M562" s="1"/>
      <c r="N562" s="1"/>
      <c r="O562" s="1"/>
      <c r="P562" s="1"/>
      <c r="Q562" s="1"/>
      <c r="R562" s="1"/>
      <c r="S562" s="1"/>
      <c r="T562" s="1"/>
      <c r="U562" s="1"/>
      <c r="V562" s="1"/>
      <c r="W562" s="1"/>
      <c r="X562" s="1"/>
      <c r="Y562" s="1"/>
    </row>
    <row r="563" spans="1:25">
      <c r="A563" s="9"/>
      <c r="B563" s="8"/>
      <c r="C563" s="114"/>
      <c r="D563" s="3"/>
      <c r="E563" s="3"/>
      <c r="F563" s="1"/>
      <c r="G563" s="1"/>
      <c r="H563" s="1"/>
      <c r="I563" s="1"/>
      <c r="J563" s="1"/>
      <c r="K563" s="1"/>
      <c r="L563" s="1"/>
      <c r="M563" s="1"/>
      <c r="N563" s="1"/>
      <c r="O563" s="1"/>
      <c r="P563" s="1"/>
      <c r="Q563" s="1"/>
      <c r="R563" s="1"/>
      <c r="S563" s="1"/>
      <c r="T563" s="1"/>
      <c r="U563" s="1"/>
      <c r="V563" s="1"/>
      <c r="W563" s="1"/>
      <c r="X563" s="1"/>
      <c r="Y563" s="1"/>
    </row>
    <row r="564" spans="1:25">
      <c r="A564" s="9"/>
      <c r="B564" s="8"/>
      <c r="C564" s="114"/>
      <c r="D564" s="3"/>
      <c r="E564" s="3"/>
      <c r="F564" s="1"/>
      <c r="G564" s="1"/>
      <c r="H564" s="1"/>
      <c r="I564" s="1"/>
      <c r="J564" s="1"/>
      <c r="K564" s="1"/>
      <c r="L564" s="1"/>
      <c r="M564" s="1"/>
      <c r="N564" s="1"/>
      <c r="O564" s="1"/>
      <c r="P564" s="1"/>
      <c r="Q564" s="1"/>
      <c r="R564" s="1"/>
      <c r="S564" s="1"/>
      <c r="T564" s="1"/>
      <c r="U564" s="1"/>
      <c r="V564" s="1"/>
      <c r="W564" s="1"/>
      <c r="X564" s="1"/>
      <c r="Y564" s="1"/>
    </row>
    <row r="565" spans="1:25">
      <c r="A565" s="9"/>
      <c r="B565" s="8"/>
      <c r="C565" s="114"/>
      <c r="D565" s="3"/>
      <c r="E565" s="3"/>
      <c r="F565" s="1"/>
      <c r="G565" s="1"/>
      <c r="H565" s="1"/>
      <c r="I565" s="1"/>
      <c r="J565" s="1"/>
      <c r="K565" s="1"/>
      <c r="L565" s="1"/>
      <c r="M565" s="1"/>
      <c r="N565" s="1"/>
      <c r="O565" s="1"/>
      <c r="P565" s="1"/>
      <c r="Q565" s="1"/>
      <c r="R565" s="1"/>
      <c r="S565" s="1"/>
      <c r="T565" s="1"/>
      <c r="U565" s="1"/>
      <c r="V565" s="1"/>
      <c r="W565" s="1"/>
      <c r="X565" s="1"/>
      <c r="Y565" s="1"/>
    </row>
    <row r="566" spans="1:25">
      <c r="A566" s="9"/>
      <c r="B566" s="8"/>
      <c r="C566" s="114"/>
      <c r="D566" s="3"/>
      <c r="E566" s="3"/>
      <c r="F566" s="1"/>
      <c r="G566" s="1"/>
      <c r="H566" s="1"/>
      <c r="I566" s="1"/>
      <c r="J566" s="1"/>
      <c r="K566" s="1"/>
      <c r="L566" s="1"/>
      <c r="M566" s="1"/>
      <c r="N566" s="1"/>
      <c r="O566" s="1"/>
      <c r="P566" s="1"/>
      <c r="Q566" s="1"/>
      <c r="R566" s="1"/>
      <c r="S566" s="1"/>
      <c r="T566" s="1"/>
      <c r="U566" s="1"/>
      <c r="V566" s="1"/>
      <c r="W566" s="1"/>
      <c r="X566" s="1"/>
      <c r="Y566" s="1"/>
    </row>
    <row r="567" spans="1:25">
      <c r="A567" s="9"/>
      <c r="B567" s="8"/>
      <c r="C567" s="114"/>
      <c r="D567" s="3"/>
      <c r="E567" s="3"/>
      <c r="F567" s="1"/>
      <c r="G567" s="1"/>
      <c r="H567" s="1"/>
      <c r="I567" s="1"/>
      <c r="J567" s="1"/>
      <c r="K567" s="1"/>
      <c r="L567" s="1"/>
      <c r="M567" s="1"/>
      <c r="N567" s="1"/>
      <c r="O567" s="1"/>
      <c r="P567" s="1"/>
      <c r="Q567" s="1"/>
      <c r="R567" s="1"/>
      <c r="S567" s="1"/>
      <c r="T567" s="1"/>
      <c r="U567" s="1"/>
      <c r="V567" s="1"/>
      <c r="W567" s="1"/>
      <c r="X567" s="1"/>
      <c r="Y567" s="1"/>
    </row>
    <row r="568" spans="1:25">
      <c r="A568" s="9"/>
      <c r="B568" s="8"/>
      <c r="C568" s="114"/>
      <c r="D568" s="3"/>
      <c r="E568" s="3"/>
      <c r="F568" s="1"/>
      <c r="G568" s="1"/>
      <c r="H568" s="1"/>
      <c r="I568" s="1"/>
      <c r="J568" s="1"/>
      <c r="K568" s="1"/>
      <c r="L568" s="1"/>
      <c r="M568" s="1"/>
      <c r="N568" s="1"/>
      <c r="O568" s="1"/>
      <c r="P568" s="1"/>
      <c r="Q568" s="1"/>
      <c r="R568" s="1"/>
      <c r="S568" s="1"/>
      <c r="T568" s="1"/>
      <c r="U568" s="1"/>
      <c r="V568" s="1"/>
      <c r="W568" s="1"/>
      <c r="X568" s="1"/>
      <c r="Y568" s="1"/>
    </row>
    <row r="569" spans="1:25">
      <c r="A569" s="9"/>
      <c r="B569" s="8"/>
      <c r="C569" s="114"/>
      <c r="D569" s="3"/>
      <c r="E569" s="3"/>
      <c r="F569" s="1"/>
      <c r="G569" s="1"/>
      <c r="H569" s="1"/>
      <c r="I569" s="1"/>
      <c r="J569" s="1"/>
      <c r="K569" s="1"/>
      <c r="L569" s="1"/>
      <c r="M569" s="1"/>
      <c r="N569" s="1"/>
      <c r="O569" s="1"/>
      <c r="P569" s="1"/>
      <c r="Q569" s="1"/>
      <c r="R569" s="1"/>
      <c r="S569" s="1"/>
      <c r="T569" s="1"/>
      <c r="U569" s="1"/>
      <c r="V569" s="1"/>
      <c r="W569" s="1"/>
      <c r="X569" s="1"/>
      <c r="Y569" s="1"/>
    </row>
    <row r="570" spans="1:25">
      <c r="A570" s="9"/>
      <c r="B570" s="8"/>
      <c r="C570" s="114"/>
      <c r="D570" s="3"/>
      <c r="E570" s="3"/>
      <c r="F570" s="1"/>
      <c r="G570" s="1"/>
      <c r="H570" s="1"/>
      <c r="I570" s="1"/>
      <c r="J570" s="1"/>
      <c r="K570" s="1"/>
      <c r="L570" s="1"/>
      <c r="M570" s="1"/>
      <c r="N570" s="1"/>
      <c r="O570" s="1"/>
      <c r="P570" s="1"/>
      <c r="Q570" s="1"/>
      <c r="R570" s="1"/>
      <c r="S570" s="1"/>
      <c r="T570" s="1"/>
      <c r="U570" s="1"/>
      <c r="V570" s="1"/>
      <c r="W570" s="1"/>
      <c r="X570" s="1"/>
      <c r="Y570" s="1"/>
    </row>
    <row r="571" spans="1:25">
      <c r="A571" s="9"/>
      <c r="B571" s="8"/>
      <c r="C571" s="114"/>
      <c r="D571" s="3"/>
      <c r="E571" s="3"/>
      <c r="F571" s="1"/>
      <c r="G571" s="1"/>
      <c r="H571" s="1"/>
      <c r="I571" s="1"/>
      <c r="J571" s="1"/>
      <c r="K571" s="1"/>
      <c r="L571" s="1"/>
      <c r="M571" s="1"/>
      <c r="N571" s="1"/>
      <c r="O571" s="1"/>
      <c r="P571" s="1"/>
      <c r="Q571" s="1"/>
      <c r="R571" s="1"/>
      <c r="S571" s="1"/>
      <c r="T571" s="1"/>
      <c r="U571" s="1"/>
      <c r="V571" s="1"/>
      <c r="W571" s="1"/>
      <c r="X571" s="1"/>
      <c r="Y571" s="1"/>
    </row>
    <row r="572" spans="1:25">
      <c r="A572" s="9"/>
      <c r="B572" s="8"/>
      <c r="C572" s="114"/>
      <c r="D572" s="3"/>
      <c r="E572" s="3"/>
      <c r="F572" s="1"/>
      <c r="G572" s="1"/>
      <c r="H572" s="1"/>
      <c r="I572" s="1"/>
      <c r="J572" s="1"/>
      <c r="K572" s="1"/>
      <c r="L572" s="1"/>
      <c r="M572" s="1"/>
      <c r="N572" s="1"/>
      <c r="O572" s="1"/>
      <c r="P572" s="1"/>
      <c r="Q572" s="1"/>
      <c r="R572" s="1"/>
      <c r="S572" s="1"/>
      <c r="T572" s="1"/>
      <c r="U572" s="1"/>
      <c r="V572" s="1"/>
      <c r="W572" s="1"/>
      <c r="X572" s="1"/>
      <c r="Y572" s="1"/>
    </row>
    <row r="573" spans="1:25">
      <c r="A573" s="9"/>
      <c r="B573" s="8"/>
      <c r="C573" s="114"/>
      <c r="D573" s="3"/>
      <c r="E573" s="3"/>
      <c r="F573" s="1"/>
      <c r="G573" s="1"/>
      <c r="H573" s="1"/>
      <c r="I573" s="1"/>
      <c r="J573" s="1"/>
      <c r="K573" s="1"/>
      <c r="L573" s="1"/>
      <c r="M573" s="1"/>
      <c r="N573" s="1"/>
      <c r="O573" s="1"/>
      <c r="P573" s="1"/>
      <c r="Q573" s="1"/>
      <c r="R573" s="1"/>
      <c r="S573" s="1"/>
      <c r="T573" s="1"/>
      <c r="U573" s="1"/>
      <c r="V573" s="1"/>
      <c r="W573" s="1"/>
      <c r="X573" s="1"/>
      <c r="Y573" s="1"/>
    </row>
    <row r="574" spans="1:25">
      <c r="A574" s="9"/>
      <c r="B574" s="8"/>
      <c r="C574" s="114"/>
      <c r="D574" s="3"/>
      <c r="E574" s="3"/>
      <c r="F574" s="1"/>
      <c r="G574" s="1"/>
      <c r="H574" s="1"/>
      <c r="I574" s="1"/>
      <c r="J574" s="1"/>
      <c r="K574" s="1"/>
      <c r="L574" s="1"/>
      <c r="M574" s="1"/>
      <c r="N574" s="1"/>
      <c r="O574" s="1"/>
      <c r="P574" s="1"/>
      <c r="Q574" s="1"/>
      <c r="R574" s="1"/>
      <c r="S574" s="1"/>
      <c r="T574" s="1"/>
      <c r="U574" s="1"/>
      <c r="V574" s="1"/>
      <c r="W574" s="1"/>
      <c r="X574" s="1"/>
      <c r="Y574" s="1"/>
    </row>
    <row r="575" spans="1:25">
      <c r="A575" s="9"/>
      <c r="B575" s="8"/>
      <c r="C575" s="114"/>
      <c r="D575" s="3"/>
      <c r="E575" s="3"/>
      <c r="F575" s="1"/>
      <c r="G575" s="1"/>
      <c r="H575" s="1"/>
      <c r="I575" s="1"/>
      <c r="J575" s="1"/>
      <c r="K575" s="1"/>
      <c r="L575" s="1"/>
      <c r="M575" s="1"/>
      <c r="N575" s="1"/>
      <c r="O575" s="1"/>
      <c r="P575" s="1"/>
      <c r="Q575" s="1"/>
      <c r="R575" s="1"/>
      <c r="S575" s="1"/>
      <c r="T575" s="1"/>
      <c r="U575" s="1"/>
      <c r="V575" s="1"/>
      <c r="W575" s="1"/>
      <c r="X575" s="1"/>
      <c r="Y575" s="1"/>
    </row>
    <row r="576" spans="1:25">
      <c r="A576" s="9"/>
      <c r="B576" s="8"/>
      <c r="C576" s="114"/>
      <c r="D576" s="3"/>
      <c r="E576" s="3"/>
      <c r="F576" s="1"/>
      <c r="G576" s="1"/>
      <c r="H576" s="1"/>
      <c r="I576" s="1"/>
      <c r="J576" s="1"/>
      <c r="K576" s="1"/>
      <c r="L576" s="1"/>
      <c r="M576" s="1"/>
      <c r="N576" s="1"/>
      <c r="O576" s="1"/>
      <c r="P576" s="1"/>
      <c r="Q576" s="1"/>
      <c r="R576" s="1"/>
      <c r="S576" s="1"/>
      <c r="T576" s="1"/>
      <c r="U576" s="1"/>
      <c r="V576" s="1"/>
      <c r="W576" s="1"/>
      <c r="X576" s="1"/>
      <c r="Y576" s="1"/>
    </row>
    <row r="577" spans="1:25">
      <c r="A577" s="9"/>
      <c r="B577" s="8"/>
      <c r="C577" s="114"/>
      <c r="D577" s="3"/>
      <c r="E577" s="3"/>
      <c r="F577" s="1"/>
      <c r="G577" s="1"/>
      <c r="H577" s="1"/>
      <c r="I577" s="1"/>
      <c r="J577" s="1"/>
      <c r="K577" s="1"/>
      <c r="L577" s="1"/>
      <c r="M577" s="1"/>
      <c r="N577" s="1"/>
      <c r="O577" s="1"/>
      <c r="P577" s="1"/>
      <c r="Q577" s="1"/>
      <c r="R577" s="1"/>
      <c r="S577" s="1"/>
      <c r="T577" s="1"/>
      <c r="U577" s="1"/>
      <c r="V577" s="1"/>
      <c r="W577" s="1"/>
      <c r="X577" s="1"/>
      <c r="Y577" s="1"/>
    </row>
    <row r="578" spans="1:25">
      <c r="A578" s="9"/>
      <c r="B578" s="8"/>
      <c r="C578" s="114"/>
      <c r="D578" s="3"/>
      <c r="E578" s="3"/>
      <c r="F578" s="1"/>
      <c r="G578" s="1"/>
      <c r="H578" s="1"/>
      <c r="I578" s="1"/>
      <c r="J578" s="1"/>
      <c r="K578" s="1"/>
      <c r="L578" s="1"/>
      <c r="M578" s="1"/>
      <c r="N578" s="1"/>
      <c r="O578" s="1"/>
      <c r="P578" s="1"/>
      <c r="Q578" s="1"/>
      <c r="R578" s="1"/>
      <c r="S578" s="1"/>
      <c r="T578" s="1"/>
      <c r="U578" s="1"/>
      <c r="V578" s="1"/>
      <c r="W578" s="1"/>
      <c r="X578" s="1"/>
      <c r="Y578" s="1"/>
    </row>
    <row r="579" spans="1:25">
      <c r="A579" s="9"/>
      <c r="B579" s="8"/>
      <c r="C579" s="114"/>
      <c r="D579" s="3"/>
      <c r="E579" s="3"/>
      <c r="F579" s="1"/>
      <c r="G579" s="1"/>
      <c r="H579" s="1"/>
      <c r="I579" s="1"/>
      <c r="J579" s="1"/>
      <c r="K579" s="1"/>
      <c r="L579" s="1"/>
      <c r="M579" s="1"/>
      <c r="N579" s="1"/>
      <c r="O579" s="1"/>
      <c r="P579" s="1"/>
      <c r="Q579" s="1"/>
      <c r="R579" s="1"/>
      <c r="S579" s="1"/>
      <c r="T579" s="1"/>
      <c r="U579" s="1"/>
      <c r="V579" s="1"/>
      <c r="W579" s="1"/>
      <c r="X579" s="1"/>
      <c r="Y579" s="1"/>
    </row>
    <row r="580" spans="1:25">
      <c r="A580" s="9"/>
      <c r="B580" s="8"/>
      <c r="C580" s="114"/>
      <c r="D580" s="3"/>
      <c r="E580" s="3"/>
      <c r="F580" s="1"/>
      <c r="G580" s="1"/>
      <c r="H580" s="1"/>
      <c r="I580" s="1"/>
      <c r="J580" s="1"/>
      <c r="K580" s="1"/>
      <c r="L580" s="1"/>
      <c r="M580" s="1"/>
      <c r="N580" s="1"/>
      <c r="O580" s="1"/>
      <c r="P580" s="1"/>
      <c r="Q580" s="1"/>
      <c r="R580" s="1"/>
      <c r="S580" s="1"/>
      <c r="T580" s="1"/>
      <c r="U580" s="1"/>
      <c r="V580" s="1"/>
      <c r="W580" s="1"/>
      <c r="X580" s="1"/>
      <c r="Y580" s="1"/>
    </row>
    <row r="581" spans="1:25">
      <c r="A581" s="9"/>
      <c r="B581" s="8"/>
      <c r="C581" s="114"/>
      <c r="D581" s="3"/>
      <c r="E581" s="3"/>
      <c r="F581" s="1"/>
      <c r="G581" s="1"/>
      <c r="H581" s="1"/>
      <c r="I581" s="1"/>
      <c r="J581" s="1"/>
      <c r="K581" s="1"/>
      <c r="L581" s="1"/>
      <c r="M581" s="1"/>
      <c r="N581" s="1"/>
      <c r="O581" s="1"/>
      <c r="P581" s="1"/>
      <c r="Q581" s="1"/>
      <c r="R581" s="1"/>
      <c r="S581" s="1"/>
      <c r="T581" s="1"/>
      <c r="U581" s="1"/>
      <c r="V581" s="1"/>
      <c r="W581" s="1"/>
      <c r="X581" s="1"/>
      <c r="Y581" s="1"/>
    </row>
    <row r="582" spans="1:25">
      <c r="A582" s="9"/>
      <c r="B582" s="8"/>
      <c r="C582" s="114"/>
      <c r="D582" s="3"/>
      <c r="E582" s="3"/>
      <c r="F582" s="1"/>
      <c r="G582" s="1"/>
      <c r="H582" s="1"/>
      <c r="I582" s="1"/>
      <c r="J582" s="1"/>
      <c r="K582" s="1"/>
      <c r="L582" s="1"/>
      <c r="M582" s="1"/>
      <c r="N582" s="1"/>
      <c r="O582" s="1"/>
      <c r="P582" s="1"/>
      <c r="Q582" s="1"/>
      <c r="R582" s="1"/>
      <c r="S582" s="1"/>
      <c r="T582" s="1"/>
      <c r="U582" s="1"/>
      <c r="V582" s="1"/>
      <c r="W582" s="1"/>
      <c r="X582" s="1"/>
      <c r="Y582" s="1"/>
    </row>
    <row r="583" spans="1:25">
      <c r="A583" s="9"/>
      <c r="B583" s="8"/>
      <c r="C583" s="114"/>
      <c r="D583" s="3"/>
      <c r="E583" s="3"/>
      <c r="F583" s="1"/>
      <c r="G583" s="1"/>
      <c r="H583" s="1"/>
      <c r="I583" s="1"/>
      <c r="J583" s="1"/>
      <c r="K583" s="1"/>
      <c r="L583" s="1"/>
      <c r="M583" s="1"/>
      <c r="N583" s="1"/>
      <c r="O583" s="1"/>
      <c r="P583" s="1"/>
      <c r="Q583" s="1"/>
      <c r="R583" s="1"/>
      <c r="S583" s="1"/>
      <c r="T583" s="1"/>
      <c r="U583" s="1"/>
      <c r="V583" s="1"/>
      <c r="W583" s="1"/>
      <c r="X583" s="1"/>
      <c r="Y583" s="1"/>
    </row>
    <row r="584" spans="1:25">
      <c r="A584" s="9"/>
      <c r="B584" s="8"/>
      <c r="C584" s="114"/>
      <c r="D584" s="3"/>
      <c r="E584" s="3"/>
      <c r="F584" s="1"/>
      <c r="G584" s="1"/>
      <c r="H584" s="1"/>
      <c r="I584" s="1"/>
      <c r="J584" s="1"/>
      <c r="K584" s="1"/>
      <c r="L584" s="1"/>
      <c r="M584" s="1"/>
      <c r="N584" s="1"/>
      <c r="O584" s="1"/>
      <c r="P584" s="1"/>
      <c r="Q584" s="1"/>
      <c r="R584" s="1"/>
      <c r="S584" s="1"/>
      <c r="T584" s="1"/>
      <c r="U584" s="1"/>
      <c r="V584" s="1"/>
      <c r="W584" s="1"/>
      <c r="X584" s="1"/>
      <c r="Y584" s="1"/>
    </row>
    <row r="585" spans="1:25">
      <c r="A585" s="9"/>
      <c r="B585" s="8"/>
      <c r="C585" s="114"/>
      <c r="D585" s="3"/>
      <c r="E585" s="3"/>
      <c r="F585" s="1"/>
      <c r="G585" s="1"/>
      <c r="H585" s="1"/>
      <c r="I585" s="1"/>
      <c r="J585" s="1"/>
      <c r="K585" s="1"/>
      <c r="L585" s="1"/>
      <c r="M585" s="1"/>
      <c r="N585" s="1"/>
      <c r="O585" s="1"/>
      <c r="P585" s="1"/>
      <c r="Q585" s="1"/>
      <c r="R585" s="1"/>
      <c r="S585" s="1"/>
      <c r="T585" s="1"/>
      <c r="U585" s="1"/>
      <c r="V585" s="1"/>
      <c r="W585" s="1"/>
      <c r="X585" s="1"/>
      <c r="Y585" s="1"/>
    </row>
    <row r="586" spans="1:25">
      <c r="A586" s="9"/>
      <c r="B586" s="8"/>
      <c r="C586" s="114"/>
      <c r="D586" s="3"/>
      <c r="E586" s="3"/>
      <c r="F586" s="1"/>
      <c r="G586" s="1"/>
      <c r="H586" s="1"/>
      <c r="I586" s="1"/>
      <c r="J586" s="1"/>
      <c r="K586" s="1"/>
      <c r="L586" s="1"/>
      <c r="M586" s="1"/>
      <c r="N586" s="1"/>
      <c r="O586" s="1"/>
      <c r="P586" s="1"/>
      <c r="Q586" s="1"/>
      <c r="R586" s="1"/>
      <c r="S586" s="1"/>
      <c r="T586" s="1"/>
      <c r="U586" s="1"/>
      <c r="V586" s="1"/>
      <c r="W586" s="1"/>
      <c r="X586" s="1"/>
      <c r="Y586" s="1"/>
    </row>
    <row r="587" spans="1:25">
      <c r="A587" s="9"/>
      <c r="B587" s="8"/>
      <c r="C587" s="114"/>
      <c r="D587" s="3"/>
      <c r="E587" s="3"/>
      <c r="F587" s="1"/>
      <c r="G587" s="1"/>
      <c r="H587" s="1"/>
      <c r="I587" s="1"/>
      <c r="J587" s="1"/>
      <c r="K587" s="1"/>
      <c r="L587" s="1"/>
      <c r="M587" s="1"/>
      <c r="N587" s="1"/>
      <c r="O587" s="1"/>
      <c r="P587" s="1"/>
      <c r="Q587" s="1"/>
      <c r="R587" s="1"/>
      <c r="S587" s="1"/>
      <c r="T587" s="1"/>
      <c r="U587" s="1"/>
      <c r="V587" s="1"/>
      <c r="W587" s="1"/>
      <c r="X587" s="1"/>
      <c r="Y587" s="1"/>
    </row>
    <row r="588" spans="1:25">
      <c r="A588" s="9"/>
      <c r="B588" s="8"/>
      <c r="C588" s="114"/>
      <c r="D588" s="3"/>
      <c r="E588" s="3"/>
      <c r="F588" s="1"/>
      <c r="G588" s="1"/>
      <c r="H588" s="1"/>
      <c r="I588" s="1"/>
      <c r="J588" s="1"/>
      <c r="K588" s="1"/>
      <c r="L588" s="1"/>
      <c r="M588" s="1"/>
      <c r="N588" s="1"/>
      <c r="O588" s="1"/>
      <c r="P588" s="1"/>
      <c r="Q588" s="1"/>
      <c r="R588" s="1"/>
      <c r="S588" s="1"/>
      <c r="T588" s="1"/>
      <c r="U588" s="1"/>
      <c r="V588" s="1"/>
      <c r="W588" s="1"/>
      <c r="X588" s="1"/>
      <c r="Y588" s="1"/>
    </row>
    <row r="589" spans="1:25">
      <c r="A589" s="9"/>
      <c r="B589" s="8"/>
      <c r="C589" s="114"/>
      <c r="D589" s="3"/>
      <c r="E589" s="3"/>
      <c r="F589" s="1"/>
      <c r="G589" s="1"/>
      <c r="H589" s="1"/>
      <c r="I589" s="1"/>
      <c r="J589" s="1"/>
      <c r="K589" s="1"/>
      <c r="L589" s="1"/>
      <c r="M589" s="1"/>
      <c r="N589" s="1"/>
      <c r="O589" s="1"/>
      <c r="P589" s="1"/>
      <c r="Q589" s="1"/>
      <c r="R589" s="1"/>
      <c r="S589" s="1"/>
      <c r="T589" s="1"/>
      <c r="U589" s="1"/>
      <c r="V589" s="1"/>
      <c r="W589" s="1"/>
      <c r="X589" s="1"/>
      <c r="Y589" s="1"/>
    </row>
    <row r="590" spans="1:25">
      <c r="A590" s="9"/>
      <c r="B590" s="8"/>
      <c r="C590" s="114"/>
      <c r="D590" s="3"/>
      <c r="E590" s="3"/>
      <c r="F590" s="1"/>
      <c r="G590" s="1"/>
      <c r="H590" s="1"/>
      <c r="I590" s="1"/>
      <c r="J590" s="1"/>
      <c r="K590" s="1"/>
      <c r="L590" s="1"/>
      <c r="M590" s="1"/>
      <c r="N590" s="1"/>
      <c r="O590" s="1"/>
      <c r="P590" s="1"/>
      <c r="Q590" s="1"/>
      <c r="R590" s="1"/>
      <c r="S590" s="1"/>
      <c r="T590" s="1"/>
      <c r="U590" s="1"/>
      <c r="V590" s="1"/>
      <c r="W590" s="1"/>
      <c r="X590" s="1"/>
      <c r="Y590" s="1"/>
    </row>
    <row r="591" spans="1:25">
      <c r="A591" s="9"/>
      <c r="B591" s="8"/>
      <c r="C591" s="114"/>
      <c r="D591" s="3"/>
      <c r="E591" s="3"/>
      <c r="F591" s="1"/>
      <c r="G591" s="1"/>
      <c r="H591" s="1"/>
      <c r="I591" s="1"/>
      <c r="J591" s="1"/>
      <c r="K591" s="1"/>
      <c r="L591" s="1"/>
      <c r="M591" s="1"/>
      <c r="N591" s="1"/>
      <c r="O591" s="1"/>
      <c r="P591" s="1"/>
      <c r="Q591" s="1"/>
      <c r="R591" s="1"/>
      <c r="S591" s="1"/>
      <c r="T591" s="1"/>
      <c r="U591" s="1"/>
      <c r="V591" s="1"/>
      <c r="W591" s="1"/>
      <c r="X591" s="1"/>
      <c r="Y591" s="1"/>
    </row>
    <row r="592" spans="1:25">
      <c r="A592" s="9"/>
      <c r="B592" s="8"/>
      <c r="C592" s="114"/>
      <c r="D592" s="3"/>
      <c r="E592" s="3"/>
      <c r="F592" s="1"/>
      <c r="G592" s="1"/>
      <c r="H592" s="1"/>
      <c r="I592" s="1"/>
      <c r="J592" s="1"/>
      <c r="K592" s="1"/>
      <c r="L592" s="1"/>
      <c r="M592" s="1"/>
      <c r="N592" s="1"/>
      <c r="O592" s="1"/>
      <c r="P592" s="1"/>
      <c r="Q592" s="1"/>
      <c r="R592" s="1"/>
      <c r="S592" s="1"/>
      <c r="T592" s="1"/>
      <c r="U592" s="1"/>
      <c r="V592" s="1"/>
      <c r="W592" s="1"/>
      <c r="X592" s="1"/>
      <c r="Y592" s="1"/>
    </row>
    <row r="593" spans="1:25">
      <c r="A593" s="9"/>
      <c r="B593" s="8"/>
      <c r="C593" s="114"/>
      <c r="D593" s="3"/>
      <c r="E593" s="3"/>
      <c r="F593" s="1"/>
      <c r="G593" s="1"/>
      <c r="H593" s="1"/>
      <c r="I593" s="1"/>
      <c r="J593" s="1"/>
      <c r="K593" s="1"/>
      <c r="L593" s="1"/>
      <c r="M593" s="1"/>
      <c r="N593" s="1"/>
      <c r="O593" s="1"/>
      <c r="P593" s="1"/>
      <c r="Q593" s="1"/>
      <c r="R593" s="1"/>
      <c r="S593" s="1"/>
      <c r="T593" s="1"/>
      <c r="U593" s="1"/>
      <c r="V593" s="1"/>
      <c r="W593" s="1"/>
      <c r="X593" s="1"/>
      <c r="Y593" s="1"/>
    </row>
    <row r="594" spans="1:25">
      <c r="A594" s="9"/>
      <c r="B594" s="8"/>
      <c r="C594" s="114"/>
      <c r="D594" s="3"/>
      <c r="E594" s="3"/>
      <c r="F594" s="1"/>
      <c r="G594" s="1"/>
      <c r="H594" s="1"/>
      <c r="I594" s="1"/>
      <c r="J594" s="1"/>
      <c r="K594" s="1"/>
      <c r="L594" s="1"/>
      <c r="M594" s="1"/>
      <c r="N594" s="1"/>
      <c r="O594" s="1"/>
      <c r="P594" s="1"/>
      <c r="Q594" s="1"/>
      <c r="R594" s="1"/>
      <c r="S594" s="1"/>
      <c r="T594" s="1"/>
      <c r="U594" s="1"/>
      <c r="V594" s="1"/>
      <c r="W594" s="1"/>
      <c r="X594" s="1"/>
      <c r="Y594" s="1"/>
    </row>
    <row r="595" spans="1:25">
      <c r="A595" s="9"/>
      <c r="B595" s="8"/>
      <c r="C595" s="114"/>
      <c r="D595" s="3"/>
      <c r="E595" s="3"/>
      <c r="F595" s="1"/>
      <c r="G595" s="1"/>
      <c r="H595" s="1"/>
      <c r="I595" s="1"/>
      <c r="J595" s="1"/>
      <c r="K595" s="1"/>
      <c r="L595" s="1"/>
      <c r="M595" s="1"/>
      <c r="N595" s="1"/>
      <c r="O595" s="1"/>
      <c r="P595" s="1"/>
      <c r="Q595" s="1"/>
      <c r="R595" s="1"/>
      <c r="S595" s="1"/>
      <c r="T595" s="1"/>
      <c r="U595" s="1"/>
      <c r="V595" s="1"/>
      <c r="W595" s="1"/>
      <c r="X595" s="1"/>
      <c r="Y595" s="1"/>
    </row>
    <row r="596" spans="1:25">
      <c r="A596" s="9"/>
      <c r="B596" s="8"/>
      <c r="C596" s="114"/>
      <c r="D596" s="3"/>
      <c r="E596" s="3"/>
      <c r="F596" s="1"/>
      <c r="G596" s="1"/>
      <c r="H596" s="1"/>
      <c r="I596" s="1"/>
      <c r="J596" s="1"/>
      <c r="K596" s="1"/>
      <c r="L596" s="1"/>
      <c r="M596" s="1"/>
      <c r="N596" s="1"/>
      <c r="O596" s="1"/>
      <c r="P596" s="1"/>
      <c r="Q596" s="1"/>
      <c r="R596" s="1"/>
      <c r="S596" s="1"/>
      <c r="T596" s="1"/>
      <c r="U596" s="1"/>
      <c r="V596" s="1"/>
      <c r="W596" s="1"/>
      <c r="X596" s="1"/>
      <c r="Y596" s="1"/>
    </row>
    <row r="597" spans="1:25">
      <c r="A597" s="9"/>
      <c r="B597" s="8"/>
      <c r="C597" s="114"/>
      <c r="D597" s="3"/>
      <c r="E597" s="3"/>
      <c r="F597" s="1"/>
      <c r="G597" s="1"/>
      <c r="H597" s="1"/>
      <c r="I597" s="1"/>
      <c r="J597" s="1"/>
      <c r="K597" s="1"/>
      <c r="L597" s="1"/>
      <c r="M597" s="1"/>
      <c r="N597" s="1"/>
      <c r="O597" s="1"/>
      <c r="P597" s="1"/>
      <c r="Q597" s="1"/>
      <c r="R597" s="1"/>
      <c r="S597" s="1"/>
      <c r="T597" s="1"/>
      <c r="U597" s="1"/>
      <c r="V597" s="1"/>
      <c r="W597" s="1"/>
      <c r="X597" s="1"/>
      <c r="Y597" s="1"/>
    </row>
    <row r="598" spans="1:25">
      <c r="A598" s="9"/>
      <c r="B598" s="8"/>
      <c r="C598" s="114"/>
      <c r="D598" s="3"/>
      <c r="E598" s="3"/>
      <c r="F598" s="1"/>
      <c r="G598" s="1"/>
      <c r="H598" s="1"/>
      <c r="I598" s="1"/>
      <c r="J598" s="1"/>
      <c r="K598" s="1"/>
      <c r="L598" s="1"/>
      <c r="M598" s="1"/>
      <c r="N598" s="1"/>
      <c r="O598" s="1"/>
      <c r="P598" s="1"/>
      <c r="Q598" s="1"/>
      <c r="R598" s="1"/>
      <c r="S598" s="1"/>
      <c r="T598" s="1"/>
      <c r="U598" s="1"/>
      <c r="V598" s="1"/>
      <c r="W598" s="1"/>
      <c r="X598" s="1"/>
      <c r="Y598" s="1"/>
    </row>
    <row r="599" spans="1:25">
      <c r="A599" s="9"/>
      <c r="B599" s="8"/>
      <c r="C599" s="114"/>
      <c r="D599" s="3"/>
      <c r="E599" s="3"/>
      <c r="F599" s="1"/>
      <c r="G599" s="1"/>
      <c r="H599" s="1"/>
      <c r="I599" s="1"/>
      <c r="J599" s="1"/>
      <c r="K599" s="1"/>
      <c r="L599" s="1"/>
      <c r="M599" s="1"/>
      <c r="N599" s="1"/>
      <c r="O599" s="1"/>
      <c r="P599" s="1"/>
      <c r="Q599" s="1"/>
      <c r="R599" s="1"/>
      <c r="S599" s="1"/>
      <c r="T599" s="1"/>
      <c r="U599" s="1"/>
      <c r="V599" s="1"/>
      <c r="W599" s="1"/>
      <c r="X599" s="1"/>
      <c r="Y599" s="1"/>
    </row>
    <row r="600" spans="1:25">
      <c r="A600" s="9"/>
      <c r="B600" s="8"/>
      <c r="C600" s="114"/>
      <c r="D600" s="3"/>
      <c r="E600" s="3"/>
      <c r="F600" s="1"/>
      <c r="G600" s="1"/>
      <c r="H600" s="1"/>
      <c r="I600" s="1"/>
      <c r="J600" s="1"/>
      <c r="K600" s="1"/>
      <c r="L600" s="1"/>
      <c r="M600" s="1"/>
      <c r="N600" s="1"/>
      <c r="O600" s="1"/>
      <c r="P600" s="1"/>
      <c r="Q600" s="1"/>
      <c r="R600" s="1"/>
      <c r="S600" s="1"/>
      <c r="T600" s="1"/>
      <c r="U600" s="1"/>
      <c r="V600" s="1"/>
      <c r="W600" s="1"/>
      <c r="X600" s="1"/>
      <c r="Y600" s="1"/>
    </row>
    <row r="601" spans="1:25">
      <c r="A601" s="9"/>
      <c r="B601" s="8"/>
      <c r="C601" s="114"/>
      <c r="D601" s="3"/>
      <c r="E601" s="3"/>
      <c r="F601" s="1"/>
      <c r="G601" s="1"/>
      <c r="H601" s="1"/>
      <c r="I601" s="1"/>
      <c r="J601" s="1"/>
      <c r="K601" s="1"/>
      <c r="L601" s="1"/>
      <c r="M601" s="1"/>
      <c r="N601" s="1"/>
      <c r="O601" s="1"/>
      <c r="P601" s="1"/>
      <c r="Q601" s="1"/>
      <c r="R601" s="1"/>
      <c r="S601" s="1"/>
      <c r="T601" s="1"/>
      <c r="U601" s="1"/>
      <c r="V601" s="1"/>
      <c r="W601" s="1"/>
      <c r="X601" s="1"/>
      <c r="Y601" s="1"/>
    </row>
    <row r="602" spans="1:25">
      <c r="A602" s="9"/>
      <c r="B602" s="8"/>
      <c r="C602" s="114"/>
      <c r="D602" s="3"/>
      <c r="E602" s="3"/>
      <c r="F602" s="1"/>
      <c r="G602" s="1"/>
      <c r="H602" s="1"/>
      <c r="I602" s="1"/>
      <c r="J602" s="1"/>
      <c r="K602" s="1"/>
      <c r="L602" s="1"/>
      <c r="M602" s="1"/>
      <c r="N602" s="1"/>
      <c r="O602" s="1"/>
      <c r="P602" s="1"/>
      <c r="Q602" s="1"/>
      <c r="R602" s="1"/>
      <c r="S602" s="1"/>
      <c r="T602" s="1"/>
      <c r="U602" s="1"/>
      <c r="V602" s="1"/>
      <c r="W602" s="1"/>
      <c r="X602" s="1"/>
      <c r="Y602" s="1"/>
    </row>
    <row r="603" spans="1:25">
      <c r="A603" s="9"/>
      <c r="B603" s="8"/>
      <c r="C603" s="114"/>
      <c r="D603" s="3"/>
      <c r="E603" s="3"/>
      <c r="F603" s="1"/>
      <c r="G603" s="1"/>
      <c r="H603" s="1"/>
      <c r="I603" s="1"/>
      <c r="J603" s="1"/>
      <c r="K603" s="1"/>
      <c r="L603" s="1"/>
      <c r="M603" s="1"/>
      <c r="N603" s="1"/>
      <c r="O603" s="1"/>
      <c r="P603" s="1"/>
      <c r="Q603" s="1"/>
      <c r="R603" s="1"/>
      <c r="S603" s="1"/>
      <c r="T603" s="1"/>
      <c r="U603" s="1"/>
      <c r="V603" s="1"/>
      <c r="W603" s="1"/>
      <c r="X603" s="1"/>
      <c r="Y603" s="1"/>
    </row>
    <row r="604" spans="1:25">
      <c r="A604" s="9"/>
      <c r="B604" s="8"/>
      <c r="C604" s="114"/>
      <c r="D604" s="3"/>
      <c r="E604" s="3"/>
      <c r="F604" s="1"/>
      <c r="G604" s="1"/>
      <c r="H604" s="1"/>
      <c r="I604" s="1"/>
      <c r="J604" s="1"/>
      <c r="K604" s="1"/>
      <c r="L604" s="1"/>
      <c r="M604" s="1"/>
      <c r="N604" s="1"/>
      <c r="O604" s="1"/>
      <c r="P604" s="1"/>
      <c r="Q604" s="1"/>
      <c r="R604" s="1"/>
      <c r="S604" s="1"/>
      <c r="T604" s="1"/>
      <c r="U604" s="1"/>
      <c r="V604" s="1"/>
      <c r="W604" s="1"/>
      <c r="X604" s="1"/>
      <c r="Y604" s="1"/>
    </row>
    <row r="605" spans="1:25">
      <c r="A605" s="9"/>
      <c r="B605" s="8"/>
      <c r="C605" s="114"/>
      <c r="D605" s="3"/>
      <c r="E605" s="3"/>
      <c r="F605" s="1"/>
      <c r="G605" s="1"/>
      <c r="H605" s="1"/>
      <c r="I605" s="1"/>
      <c r="J605" s="1"/>
      <c r="K605" s="1"/>
      <c r="L605" s="1"/>
      <c r="M605" s="1"/>
      <c r="N605" s="1"/>
      <c r="O605" s="1"/>
      <c r="P605" s="1"/>
      <c r="Q605" s="1"/>
      <c r="R605" s="1"/>
      <c r="S605" s="1"/>
      <c r="T605" s="1"/>
      <c r="U605" s="1"/>
      <c r="V605" s="1"/>
      <c r="W605" s="1"/>
      <c r="X605" s="1"/>
      <c r="Y605" s="1"/>
    </row>
    <row r="606" spans="1:25">
      <c r="A606" s="9"/>
      <c r="B606" s="8"/>
      <c r="C606" s="114"/>
      <c r="D606" s="3"/>
      <c r="E606" s="3"/>
      <c r="F606" s="1"/>
      <c r="G606" s="1"/>
      <c r="H606" s="1"/>
      <c r="I606" s="1"/>
      <c r="J606" s="1"/>
      <c r="K606" s="1"/>
      <c r="L606" s="1"/>
      <c r="M606" s="1"/>
      <c r="N606" s="1"/>
      <c r="O606" s="1"/>
      <c r="P606" s="1"/>
      <c r="Q606" s="1"/>
      <c r="R606" s="1"/>
      <c r="S606" s="1"/>
      <c r="T606" s="1"/>
      <c r="U606" s="1"/>
      <c r="V606" s="1"/>
      <c r="W606" s="1"/>
      <c r="X606" s="1"/>
      <c r="Y606" s="1"/>
    </row>
    <row r="607" spans="1:25">
      <c r="A607" s="9"/>
      <c r="B607" s="8"/>
      <c r="C607" s="114"/>
      <c r="D607" s="3"/>
      <c r="E607" s="3"/>
      <c r="F607" s="1"/>
      <c r="G607" s="1"/>
      <c r="H607" s="1"/>
      <c r="I607" s="1"/>
      <c r="J607" s="1"/>
      <c r="K607" s="1"/>
      <c r="L607" s="1"/>
      <c r="M607" s="1"/>
      <c r="N607" s="1"/>
      <c r="O607" s="1"/>
      <c r="P607" s="1"/>
      <c r="Q607" s="1"/>
      <c r="R607" s="1"/>
      <c r="S607" s="1"/>
      <c r="T607" s="1"/>
      <c r="U607" s="1"/>
      <c r="V607" s="1"/>
      <c r="W607" s="1"/>
      <c r="X607" s="1"/>
      <c r="Y607" s="1"/>
    </row>
    <row r="608" spans="1:25">
      <c r="A608" s="9"/>
      <c r="B608" s="8"/>
      <c r="C608" s="114"/>
      <c r="D608" s="3"/>
      <c r="E608" s="3"/>
      <c r="F608" s="1"/>
      <c r="G608" s="1"/>
      <c r="H608" s="1"/>
      <c r="I608" s="1"/>
      <c r="J608" s="1"/>
      <c r="K608" s="1"/>
      <c r="L608" s="1"/>
      <c r="M608" s="1"/>
      <c r="N608" s="1"/>
      <c r="O608" s="1"/>
      <c r="P608" s="1"/>
      <c r="Q608" s="1"/>
      <c r="R608" s="1"/>
      <c r="S608" s="1"/>
      <c r="T608" s="1"/>
      <c r="U608" s="1"/>
      <c r="V608" s="1"/>
      <c r="W608" s="1"/>
      <c r="X608" s="1"/>
      <c r="Y608" s="1"/>
    </row>
    <row r="609" spans="1:25">
      <c r="A609" s="9"/>
      <c r="B609" s="8"/>
      <c r="C609" s="114"/>
      <c r="D609" s="3"/>
      <c r="E609" s="3"/>
      <c r="F609" s="1"/>
      <c r="G609" s="1"/>
      <c r="H609" s="1"/>
      <c r="I609" s="1"/>
      <c r="J609" s="1"/>
      <c r="K609" s="1"/>
      <c r="L609" s="1"/>
      <c r="M609" s="1"/>
      <c r="N609" s="1"/>
      <c r="O609" s="1"/>
      <c r="P609" s="1"/>
      <c r="Q609" s="1"/>
      <c r="R609" s="1"/>
      <c r="S609" s="1"/>
      <c r="T609" s="1"/>
      <c r="U609" s="1"/>
      <c r="V609" s="1"/>
      <c r="W609" s="1"/>
      <c r="X609" s="1"/>
      <c r="Y609" s="1"/>
    </row>
    <row r="610" spans="1:25">
      <c r="A610" s="9"/>
      <c r="B610" s="8"/>
      <c r="C610" s="114"/>
      <c r="D610" s="3"/>
      <c r="E610" s="3"/>
      <c r="F610" s="1"/>
      <c r="G610" s="1"/>
      <c r="H610" s="1"/>
      <c r="I610" s="1"/>
      <c r="J610" s="1"/>
      <c r="K610" s="1"/>
      <c r="L610" s="1"/>
      <c r="M610" s="1"/>
      <c r="N610" s="1"/>
      <c r="O610" s="1"/>
      <c r="P610" s="1"/>
      <c r="Q610" s="1"/>
      <c r="R610" s="1"/>
      <c r="S610" s="1"/>
      <c r="T610" s="1"/>
      <c r="U610" s="1"/>
      <c r="V610" s="1"/>
      <c r="W610" s="1"/>
      <c r="X610" s="1"/>
      <c r="Y610" s="1"/>
    </row>
    <row r="611" spans="1:25">
      <c r="A611" s="9"/>
      <c r="B611" s="8"/>
      <c r="C611" s="114"/>
      <c r="D611" s="3"/>
      <c r="E611" s="3"/>
      <c r="F611" s="1"/>
      <c r="G611" s="1"/>
      <c r="H611" s="1"/>
      <c r="I611" s="1"/>
      <c r="J611" s="1"/>
      <c r="K611" s="1"/>
      <c r="L611" s="1"/>
      <c r="M611" s="1"/>
      <c r="N611" s="1"/>
      <c r="O611" s="1"/>
      <c r="P611" s="1"/>
      <c r="Q611" s="1"/>
      <c r="R611" s="1"/>
      <c r="S611" s="1"/>
      <c r="T611" s="1"/>
      <c r="U611" s="1"/>
      <c r="V611" s="1"/>
      <c r="W611" s="1"/>
      <c r="X611" s="1"/>
      <c r="Y611" s="1"/>
    </row>
    <row r="612" spans="1:25">
      <c r="A612" s="9"/>
      <c r="B612" s="8"/>
      <c r="C612" s="114"/>
      <c r="D612" s="3"/>
      <c r="E612" s="3"/>
      <c r="F612" s="1"/>
      <c r="G612" s="1"/>
      <c r="H612" s="1"/>
      <c r="I612" s="1"/>
      <c r="J612" s="1"/>
      <c r="K612" s="1"/>
      <c r="L612" s="1"/>
      <c r="M612" s="1"/>
      <c r="N612" s="1"/>
      <c r="O612" s="1"/>
      <c r="P612" s="1"/>
      <c r="Q612" s="1"/>
      <c r="R612" s="1"/>
      <c r="S612" s="1"/>
      <c r="T612" s="1"/>
      <c r="U612" s="1"/>
      <c r="V612" s="1"/>
      <c r="W612" s="1"/>
      <c r="X612" s="1"/>
      <c r="Y612" s="1"/>
    </row>
    <row r="613" spans="1:25">
      <c r="A613" s="9"/>
      <c r="B613" s="8"/>
      <c r="C613" s="114"/>
      <c r="D613" s="3"/>
      <c r="E613" s="3"/>
      <c r="F613" s="1"/>
      <c r="G613" s="1"/>
      <c r="H613" s="1"/>
      <c r="I613" s="1"/>
      <c r="J613" s="1"/>
      <c r="K613" s="1"/>
      <c r="L613" s="1"/>
      <c r="M613" s="1"/>
      <c r="N613" s="1"/>
      <c r="O613" s="1"/>
      <c r="P613" s="1"/>
      <c r="Q613" s="1"/>
      <c r="R613" s="1"/>
      <c r="S613" s="1"/>
      <c r="T613" s="1"/>
      <c r="U613" s="1"/>
      <c r="V613" s="1"/>
      <c r="W613" s="1"/>
      <c r="X613" s="1"/>
      <c r="Y613" s="1"/>
    </row>
    <row r="614" spans="1:25">
      <c r="A614" s="9"/>
      <c r="B614" s="8"/>
      <c r="C614" s="114"/>
      <c r="D614" s="3"/>
      <c r="E614" s="3"/>
      <c r="F614" s="1"/>
      <c r="G614" s="1"/>
      <c r="H614" s="1"/>
      <c r="I614" s="1"/>
      <c r="J614" s="1"/>
      <c r="K614" s="1"/>
      <c r="L614" s="1"/>
      <c r="M614" s="1"/>
      <c r="N614" s="1"/>
      <c r="O614" s="1"/>
      <c r="P614" s="1"/>
      <c r="Q614" s="1"/>
      <c r="R614" s="1"/>
      <c r="S614" s="1"/>
      <c r="T614" s="1"/>
      <c r="U614" s="1"/>
      <c r="V614" s="1"/>
      <c r="W614" s="1"/>
      <c r="X614" s="1"/>
      <c r="Y614" s="1"/>
    </row>
    <row r="615" spans="1:25">
      <c r="A615" s="9"/>
      <c r="B615" s="8"/>
      <c r="C615" s="114"/>
      <c r="D615" s="3"/>
      <c r="E615" s="3"/>
      <c r="F615" s="1"/>
      <c r="G615" s="1"/>
      <c r="H615" s="1"/>
      <c r="I615" s="1"/>
      <c r="J615" s="1"/>
      <c r="K615" s="1"/>
      <c r="L615" s="1"/>
      <c r="M615" s="1"/>
      <c r="N615" s="1"/>
      <c r="O615" s="1"/>
      <c r="P615" s="1"/>
      <c r="Q615" s="1"/>
      <c r="R615" s="1"/>
      <c r="S615" s="1"/>
      <c r="T615" s="1"/>
      <c r="U615" s="1"/>
      <c r="V615" s="1"/>
      <c r="W615" s="1"/>
      <c r="X615" s="1"/>
      <c r="Y615" s="1"/>
    </row>
    <row r="616" spans="1:25">
      <c r="A616" s="9"/>
      <c r="B616" s="8"/>
      <c r="C616" s="114"/>
      <c r="D616" s="3"/>
      <c r="E616" s="3"/>
      <c r="F616" s="1"/>
      <c r="G616" s="1"/>
      <c r="H616" s="1"/>
      <c r="I616" s="1"/>
      <c r="J616" s="1"/>
      <c r="K616" s="1"/>
      <c r="L616" s="1"/>
      <c r="M616" s="1"/>
      <c r="N616" s="1"/>
      <c r="O616" s="1"/>
      <c r="P616" s="1"/>
      <c r="Q616" s="1"/>
      <c r="R616" s="1"/>
      <c r="S616" s="1"/>
      <c r="T616" s="1"/>
      <c r="U616" s="1"/>
      <c r="V616" s="1"/>
      <c r="W616" s="1"/>
      <c r="X616" s="1"/>
      <c r="Y616" s="1"/>
    </row>
    <row r="617" spans="1:25">
      <c r="A617" s="9"/>
      <c r="B617" s="8"/>
      <c r="C617" s="114"/>
      <c r="D617" s="3"/>
      <c r="E617" s="3"/>
      <c r="F617" s="1"/>
      <c r="G617" s="1"/>
      <c r="H617" s="1"/>
      <c r="I617" s="1"/>
      <c r="J617" s="1"/>
      <c r="K617" s="1"/>
      <c r="L617" s="1"/>
      <c r="M617" s="1"/>
      <c r="N617" s="1"/>
      <c r="O617" s="1"/>
      <c r="P617" s="1"/>
      <c r="Q617" s="1"/>
      <c r="R617" s="1"/>
      <c r="S617" s="1"/>
      <c r="T617" s="1"/>
      <c r="U617" s="1"/>
      <c r="V617" s="1"/>
      <c r="W617" s="1"/>
      <c r="X617" s="1"/>
      <c r="Y617" s="1"/>
    </row>
    <row r="618" spans="1:25">
      <c r="A618" s="9"/>
      <c r="B618" s="8"/>
      <c r="C618" s="114"/>
      <c r="D618" s="3"/>
      <c r="E618" s="3"/>
      <c r="F618" s="1"/>
      <c r="G618" s="1"/>
      <c r="H618" s="1"/>
      <c r="I618" s="1"/>
      <c r="J618" s="1"/>
      <c r="K618" s="1"/>
      <c r="L618" s="1"/>
      <c r="M618" s="1"/>
      <c r="N618" s="1"/>
      <c r="O618" s="1"/>
      <c r="P618" s="1"/>
      <c r="Q618" s="1"/>
      <c r="R618" s="1"/>
      <c r="S618" s="1"/>
      <c r="T618" s="1"/>
      <c r="U618" s="1"/>
      <c r="V618" s="1"/>
      <c r="W618" s="1"/>
      <c r="X618" s="1"/>
      <c r="Y618" s="1"/>
    </row>
    <row r="619" spans="1:25">
      <c r="A619" s="9"/>
      <c r="B619" s="8"/>
      <c r="C619" s="114"/>
      <c r="D619" s="3"/>
      <c r="E619" s="3"/>
      <c r="F619" s="1"/>
      <c r="G619" s="1"/>
      <c r="H619" s="1"/>
      <c r="I619" s="1"/>
      <c r="J619" s="1"/>
      <c r="K619" s="1"/>
      <c r="L619" s="1"/>
      <c r="M619" s="1"/>
      <c r="N619" s="1"/>
      <c r="O619" s="1"/>
      <c r="P619" s="1"/>
      <c r="Q619" s="1"/>
      <c r="R619" s="1"/>
      <c r="S619" s="1"/>
      <c r="T619" s="1"/>
      <c r="U619" s="1"/>
      <c r="V619" s="1"/>
      <c r="W619" s="1"/>
      <c r="X619" s="1"/>
      <c r="Y619" s="1"/>
    </row>
    <row r="620" spans="1:25">
      <c r="A620" s="9"/>
      <c r="B620" s="8"/>
      <c r="C620" s="114"/>
      <c r="D620" s="3"/>
      <c r="E620" s="3"/>
      <c r="F620" s="1"/>
      <c r="G620" s="1"/>
      <c r="H620" s="1"/>
      <c r="I620" s="1"/>
      <c r="J620" s="1"/>
      <c r="K620" s="1"/>
      <c r="L620" s="1"/>
      <c r="M620" s="1"/>
      <c r="N620" s="1"/>
      <c r="O620" s="1"/>
      <c r="P620" s="1"/>
      <c r="Q620" s="1"/>
      <c r="R620" s="1"/>
      <c r="S620" s="1"/>
      <c r="T620" s="1"/>
      <c r="U620" s="1"/>
      <c r="V620" s="1"/>
      <c r="W620" s="1"/>
      <c r="X620" s="1"/>
      <c r="Y620" s="1"/>
    </row>
    <row r="621" spans="1:25">
      <c r="A621" s="9"/>
      <c r="B621" s="8"/>
      <c r="C621" s="114"/>
      <c r="D621" s="3"/>
      <c r="E621" s="3"/>
      <c r="F621" s="1"/>
      <c r="G621" s="1"/>
      <c r="H621" s="1"/>
      <c r="I621" s="1"/>
      <c r="J621" s="1"/>
      <c r="K621" s="1"/>
      <c r="L621" s="1"/>
      <c r="M621" s="1"/>
      <c r="N621" s="1"/>
      <c r="O621" s="1"/>
      <c r="P621" s="1"/>
      <c r="Q621" s="1"/>
      <c r="R621" s="1"/>
      <c r="S621" s="1"/>
      <c r="T621" s="1"/>
      <c r="U621" s="1"/>
      <c r="V621" s="1"/>
      <c r="W621" s="1"/>
      <c r="X621" s="1"/>
      <c r="Y621" s="1"/>
    </row>
    <row r="622" spans="1:25">
      <c r="A622" s="9"/>
      <c r="B622" s="8"/>
      <c r="C622" s="114"/>
      <c r="D622" s="3"/>
      <c r="E622" s="3"/>
      <c r="F622" s="1"/>
      <c r="G622" s="1"/>
      <c r="H622" s="1"/>
      <c r="I622" s="1"/>
      <c r="J622" s="1"/>
      <c r="K622" s="1"/>
      <c r="L622" s="1"/>
      <c r="M622" s="1"/>
      <c r="N622" s="1"/>
      <c r="O622" s="1"/>
      <c r="P622" s="1"/>
      <c r="Q622" s="1"/>
      <c r="R622" s="1"/>
      <c r="S622" s="1"/>
      <c r="T622" s="1"/>
      <c r="U622" s="1"/>
      <c r="V622" s="1"/>
      <c r="W622" s="1"/>
      <c r="X622" s="1"/>
      <c r="Y622" s="1"/>
    </row>
    <row r="623" spans="1:25">
      <c r="A623" s="9"/>
      <c r="B623" s="8"/>
      <c r="C623" s="114"/>
      <c r="D623" s="3"/>
      <c r="E623" s="3"/>
      <c r="F623" s="1"/>
      <c r="G623" s="1"/>
      <c r="H623" s="1"/>
      <c r="I623" s="1"/>
      <c r="J623" s="1"/>
      <c r="K623" s="1"/>
      <c r="L623" s="1"/>
      <c r="M623" s="1"/>
      <c r="N623" s="1"/>
      <c r="O623" s="1"/>
      <c r="P623" s="1"/>
      <c r="Q623" s="1"/>
      <c r="R623" s="1"/>
      <c r="S623" s="1"/>
      <c r="T623" s="1"/>
      <c r="U623" s="1"/>
      <c r="V623" s="1"/>
      <c r="W623" s="1"/>
      <c r="X623" s="1"/>
      <c r="Y623" s="1"/>
    </row>
    <row r="624" spans="1:25">
      <c r="A624" s="9"/>
      <c r="B624" s="8"/>
      <c r="C624" s="114"/>
      <c r="D624" s="3"/>
      <c r="E624" s="3"/>
      <c r="F624" s="1"/>
      <c r="G624" s="1"/>
      <c r="H624" s="1"/>
      <c r="I624" s="1"/>
      <c r="J624" s="1"/>
      <c r="K624" s="1"/>
      <c r="L624" s="1"/>
      <c r="M624" s="1"/>
      <c r="N624" s="1"/>
      <c r="O624" s="1"/>
      <c r="P624" s="1"/>
      <c r="Q624" s="1"/>
      <c r="R624" s="1"/>
      <c r="S624" s="1"/>
      <c r="T624" s="1"/>
      <c r="U624" s="1"/>
      <c r="V624" s="1"/>
      <c r="W624" s="1"/>
      <c r="X624" s="1"/>
      <c r="Y624" s="1"/>
    </row>
    <row r="625" spans="1:25">
      <c r="A625" s="9"/>
      <c r="B625" s="8"/>
      <c r="C625" s="114"/>
      <c r="D625" s="3"/>
      <c r="E625" s="3"/>
      <c r="F625" s="1"/>
      <c r="G625" s="1"/>
      <c r="H625" s="1"/>
      <c r="I625" s="1"/>
      <c r="J625" s="1"/>
      <c r="K625" s="1"/>
      <c r="L625" s="1"/>
      <c r="M625" s="1"/>
      <c r="N625" s="1"/>
      <c r="O625" s="1"/>
      <c r="P625" s="1"/>
      <c r="Q625" s="1"/>
      <c r="R625" s="1"/>
      <c r="S625" s="1"/>
      <c r="T625" s="1"/>
      <c r="U625" s="1"/>
      <c r="V625" s="1"/>
      <c r="W625" s="1"/>
      <c r="X625" s="1"/>
      <c r="Y625" s="1"/>
    </row>
    <row r="626" spans="1:25">
      <c r="A626" s="9"/>
      <c r="B626" s="8"/>
      <c r="C626" s="114"/>
      <c r="D626" s="3"/>
      <c r="E626" s="3"/>
      <c r="F626" s="1"/>
      <c r="G626" s="1"/>
      <c r="H626" s="1"/>
      <c r="I626" s="1"/>
      <c r="J626" s="1"/>
      <c r="K626" s="1"/>
      <c r="L626" s="1"/>
      <c r="M626" s="1"/>
      <c r="N626" s="1"/>
      <c r="O626" s="1"/>
      <c r="P626" s="1"/>
      <c r="Q626" s="1"/>
      <c r="R626" s="1"/>
      <c r="S626" s="1"/>
      <c r="T626" s="1"/>
      <c r="U626" s="1"/>
      <c r="V626" s="1"/>
      <c r="W626" s="1"/>
      <c r="X626" s="1"/>
      <c r="Y626" s="1"/>
    </row>
    <row r="627" spans="1:25">
      <c r="A627" s="9"/>
      <c r="B627" s="8"/>
      <c r="C627" s="114"/>
      <c r="D627" s="3"/>
      <c r="E627" s="3"/>
      <c r="F627" s="1"/>
      <c r="G627" s="1"/>
      <c r="H627" s="1"/>
      <c r="I627" s="1"/>
      <c r="J627" s="1"/>
      <c r="K627" s="1"/>
      <c r="L627" s="1"/>
      <c r="M627" s="1"/>
      <c r="N627" s="1"/>
      <c r="O627" s="1"/>
      <c r="P627" s="1"/>
      <c r="Q627" s="1"/>
      <c r="R627" s="1"/>
      <c r="S627" s="1"/>
      <c r="T627" s="1"/>
      <c r="U627" s="1"/>
      <c r="V627" s="1"/>
      <c r="W627" s="1"/>
      <c r="X627" s="1"/>
      <c r="Y627" s="1"/>
    </row>
    <row r="628" spans="1:25">
      <c r="A628" s="9"/>
      <c r="B628" s="8"/>
      <c r="C628" s="114"/>
      <c r="D628" s="3"/>
      <c r="E628" s="3"/>
      <c r="F628" s="1"/>
      <c r="G628" s="1"/>
      <c r="H628" s="1"/>
      <c r="I628" s="1"/>
      <c r="J628" s="1"/>
      <c r="K628" s="1"/>
      <c r="L628" s="1"/>
      <c r="M628" s="1"/>
      <c r="N628" s="1"/>
      <c r="O628" s="1"/>
      <c r="P628" s="1"/>
      <c r="Q628" s="1"/>
      <c r="R628" s="1"/>
      <c r="S628" s="1"/>
      <c r="T628" s="1"/>
      <c r="U628" s="1"/>
      <c r="V628" s="1"/>
      <c r="W628" s="1"/>
      <c r="X628" s="1"/>
      <c r="Y628" s="1"/>
    </row>
    <row r="629" spans="1:25">
      <c r="A629" s="9"/>
      <c r="B629" s="8"/>
      <c r="C629" s="114"/>
      <c r="D629" s="3"/>
      <c r="E629" s="3"/>
      <c r="F629" s="1"/>
      <c r="G629" s="1"/>
      <c r="H629" s="1"/>
      <c r="I629" s="1"/>
      <c r="J629" s="1"/>
      <c r="K629" s="1"/>
      <c r="L629" s="1"/>
      <c r="M629" s="1"/>
      <c r="N629" s="1"/>
      <c r="O629" s="1"/>
      <c r="P629" s="1"/>
      <c r="Q629" s="1"/>
      <c r="R629" s="1"/>
      <c r="S629" s="1"/>
      <c r="T629" s="1"/>
      <c r="U629" s="1"/>
      <c r="V629" s="1"/>
      <c r="W629" s="1"/>
      <c r="X629" s="1"/>
      <c r="Y629" s="1"/>
    </row>
    <row r="630" spans="1:25">
      <c r="A630" s="9"/>
      <c r="B630" s="8"/>
      <c r="C630" s="114"/>
      <c r="D630" s="3"/>
      <c r="E630" s="3"/>
      <c r="F630" s="1"/>
      <c r="G630" s="1"/>
      <c r="H630" s="1"/>
      <c r="I630" s="1"/>
      <c r="J630" s="1"/>
      <c r="K630" s="1"/>
      <c r="L630" s="1"/>
      <c r="M630" s="1"/>
      <c r="N630" s="1"/>
      <c r="O630" s="1"/>
      <c r="P630" s="1"/>
      <c r="Q630" s="1"/>
      <c r="R630" s="1"/>
      <c r="S630" s="1"/>
      <c r="T630" s="1"/>
      <c r="U630" s="1"/>
      <c r="V630" s="1"/>
      <c r="W630" s="1"/>
      <c r="X630" s="1"/>
      <c r="Y630" s="1"/>
    </row>
    <row r="631" spans="1:25">
      <c r="A631" s="9"/>
      <c r="B631" s="8"/>
      <c r="C631" s="114"/>
      <c r="D631" s="3"/>
      <c r="E631" s="3"/>
      <c r="F631" s="1"/>
      <c r="G631" s="1"/>
      <c r="H631" s="1"/>
      <c r="I631" s="1"/>
      <c r="J631" s="1"/>
      <c r="K631" s="1"/>
      <c r="L631" s="1"/>
      <c r="M631" s="1"/>
      <c r="N631" s="1"/>
      <c r="O631" s="1"/>
      <c r="P631" s="1"/>
      <c r="Q631" s="1"/>
      <c r="R631" s="1"/>
      <c r="S631" s="1"/>
      <c r="T631" s="1"/>
      <c r="U631" s="1"/>
      <c r="V631" s="1"/>
      <c r="W631" s="1"/>
      <c r="X631" s="1"/>
      <c r="Y631" s="1"/>
    </row>
    <row r="632" spans="1:25">
      <c r="A632" s="9"/>
      <c r="B632" s="8"/>
      <c r="C632" s="114"/>
      <c r="D632" s="3"/>
      <c r="E632" s="3"/>
      <c r="F632" s="1"/>
      <c r="G632" s="1"/>
      <c r="H632" s="1"/>
      <c r="I632" s="1"/>
      <c r="J632" s="1"/>
      <c r="K632" s="1"/>
      <c r="L632" s="1"/>
      <c r="M632" s="1"/>
      <c r="N632" s="1"/>
      <c r="O632" s="1"/>
      <c r="P632" s="1"/>
      <c r="Q632" s="1"/>
      <c r="R632" s="1"/>
      <c r="S632" s="1"/>
      <c r="T632" s="1"/>
      <c r="U632" s="1"/>
      <c r="V632" s="1"/>
      <c r="W632" s="1"/>
      <c r="X632" s="1"/>
      <c r="Y632" s="1"/>
    </row>
    <row r="633" spans="1:25">
      <c r="A633" s="9"/>
      <c r="B633" s="8"/>
      <c r="C633" s="114"/>
      <c r="D633" s="3"/>
      <c r="E633" s="3"/>
      <c r="F633" s="1"/>
      <c r="G633" s="1"/>
      <c r="H633" s="1"/>
      <c r="I633" s="1"/>
      <c r="J633" s="1"/>
      <c r="K633" s="1"/>
      <c r="L633" s="1"/>
      <c r="M633" s="1"/>
      <c r="N633" s="1"/>
      <c r="O633" s="1"/>
      <c r="P633" s="1"/>
      <c r="Q633" s="1"/>
      <c r="R633" s="1"/>
      <c r="S633" s="1"/>
      <c r="T633" s="1"/>
      <c r="U633" s="1"/>
      <c r="V633" s="1"/>
      <c r="W633" s="1"/>
      <c r="X633" s="1"/>
      <c r="Y633" s="1"/>
    </row>
    <row r="634" spans="1:25">
      <c r="A634" s="9"/>
      <c r="B634" s="8"/>
      <c r="C634" s="114"/>
      <c r="D634" s="3"/>
      <c r="E634" s="3"/>
      <c r="F634" s="1"/>
      <c r="G634" s="1"/>
      <c r="H634" s="1"/>
      <c r="I634" s="1"/>
      <c r="J634" s="1"/>
      <c r="K634" s="1"/>
      <c r="L634" s="1"/>
      <c r="M634" s="1"/>
      <c r="N634" s="1"/>
      <c r="O634" s="1"/>
      <c r="P634" s="1"/>
      <c r="Q634" s="1"/>
      <c r="R634" s="1"/>
      <c r="S634" s="1"/>
      <c r="T634" s="1"/>
      <c r="U634" s="1"/>
      <c r="V634" s="1"/>
      <c r="W634" s="1"/>
      <c r="X634" s="1"/>
      <c r="Y634" s="1"/>
    </row>
    <row r="635" spans="1:25">
      <c r="A635" s="9"/>
      <c r="B635" s="8"/>
      <c r="C635" s="114"/>
      <c r="D635" s="3"/>
      <c r="E635" s="3"/>
      <c r="F635" s="1"/>
      <c r="G635" s="1"/>
      <c r="H635" s="1"/>
      <c r="I635" s="1"/>
      <c r="J635" s="1"/>
      <c r="K635" s="1"/>
      <c r="L635" s="1"/>
      <c r="M635" s="1"/>
      <c r="N635" s="1"/>
      <c r="O635" s="1"/>
      <c r="P635" s="1"/>
      <c r="Q635" s="1"/>
      <c r="R635" s="1"/>
      <c r="S635" s="1"/>
      <c r="T635" s="1"/>
      <c r="U635" s="1"/>
      <c r="V635" s="1"/>
      <c r="W635" s="1"/>
      <c r="X635" s="1"/>
      <c r="Y635" s="1"/>
    </row>
    <row r="636" spans="1:25">
      <c r="A636" s="9"/>
      <c r="B636" s="8"/>
      <c r="C636" s="114"/>
      <c r="D636" s="3"/>
      <c r="E636" s="3"/>
      <c r="F636" s="1"/>
      <c r="G636" s="1"/>
      <c r="H636" s="1"/>
      <c r="I636" s="1"/>
      <c r="J636" s="1"/>
      <c r="K636" s="1"/>
      <c r="L636" s="1"/>
      <c r="M636" s="1"/>
      <c r="N636" s="1"/>
      <c r="O636" s="1"/>
      <c r="P636" s="1"/>
      <c r="Q636" s="1"/>
      <c r="R636" s="1"/>
      <c r="S636" s="1"/>
      <c r="T636" s="1"/>
      <c r="U636" s="1"/>
      <c r="V636" s="1"/>
      <c r="W636" s="1"/>
      <c r="X636" s="1"/>
      <c r="Y636" s="1"/>
    </row>
    <row r="637" spans="1:25">
      <c r="A637" s="9"/>
      <c r="B637" s="8"/>
      <c r="C637" s="114"/>
      <c r="D637" s="3"/>
      <c r="E637" s="3"/>
      <c r="F637" s="1"/>
      <c r="G637" s="1"/>
      <c r="H637" s="1"/>
      <c r="I637" s="1"/>
      <c r="J637" s="1"/>
      <c r="K637" s="1"/>
      <c r="L637" s="1"/>
      <c r="M637" s="1"/>
      <c r="N637" s="1"/>
      <c r="O637" s="1"/>
      <c r="P637" s="1"/>
      <c r="Q637" s="1"/>
      <c r="R637" s="1"/>
      <c r="S637" s="1"/>
      <c r="T637" s="1"/>
      <c r="U637" s="1"/>
      <c r="V637" s="1"/>
      <c r="W637" s="1"/>
      <c r="X637" s="1"/>
      <c r="Y637" s="1"/>
    </row>
    <row r="638" spans="1:25">
      <c r="A638" s="9"/>
      <c r="B638" s="8"/>
      <c r="C638" s="114"/>
      <c r="D638" s="3"/>
      <c r="E638" s="3"/>
      <c r="F638" s="1"/>
      <c r="G638" s="1"/>
      <c r="H638" s="1"/>
      <c r="I638" s="1"/>
      <c r="J638" s="1"/>
      <c r="K638" s="1"/>
      <c r="L638" s="1"/>
      <c r="M638" s="1"/>
      <c r="N638" s="1"/>
      <c r="O638" s="1"/>
      <c r="P638" s="1"/>
      <c r="Q638" s="1"/>
      <c r="R638" s="1"/>
      <c r="S638" s="1"/>
      <c r="T638" s="1"/>
      <c r="U638" s="1"/>
      <c r="V638" s="1"/>
      <c r="W638" s="1"/>
      <c r="X638" s="1"/>
      <c r="Y638" s="1"/>
    </row>
    <row r="639" spans="1:25">
      <c r="A639" s="9"/>
      <c r="B639" s="8"/>
      <c r="C639" s="114"/>
      <c r="D639" s="3"/>
      <c r="E639" s="3"/>
      <c r="F639" s="1"/>
      <c r="G639" s="1"/>
      <c r="H639" s="1"/>
      <c r="I639" s="1"/>
      <c r="J639" s="1"/>
      <c r="K639" s="1"/>
      <c r="L639" s="1"/>
      <c r="M639" s="1"/>
      <c r="N639" s="1"/>
      <c r="O639" s="1"/>
      <c r="P639" s="1"/>
      <c r="Q639" s="1"/>
      <c r="R639" s="1"/>
      <c r="S639" s="1"/>
      <c r="T639" s="1"/>
      <c r="U639" s="1"/>
      <c r="V639" s="1"/>
      <c r="W639" s="1"/>
      <c r="X639" s="1"/>
      <c r="Y639" s="1"/>
    </row>
    <row r="640" spans="1:25">
      <c r="A640" s="9"/>
      <c r="B640" s="8"/>
      <c r="C640" s="114"/>
      <c r="D640" s="3"/>
      <c r="E640" s="3"/>
      <c r="F640" s="1"/>
      <c r="G640" s="1"/>
      <c r="H640" s="1"/>
      <c r="I640" s="1"/>
      <c r="J640" s="1"/>
      <c r="K640" s="1"/>
      <c r="L640" s="1"/>
      <c r="M640" s="1"/>
      <c r="N640" s="1"/>
      <c r="O640" s="1"/>
      <c r="P640" s="1"/>
      <c r="Q640" s="1"/>
      <c r="R640" s="1"/>
      <c r="S640" s="1"/>
      <c r="T640" s="1"/>
      <c r="U640" s="1"/>
      <c r="V640" s="1"/>
      <c r="W640" s="1"/>
      <c r="X640" s="1"/>
      <c r="Y640" s="1"/>
    </row>
    <row r="641" spans="1:25">
      <c r="A641" s="9"/>
      <c r="B641" s="8"/>
      <c r="C641" s="114"/>
      <c r="D641" s="3"/>
      <c r="E641" s="3"/>
      <c r="F641" s="1"/>
      <c r="G641" s="1"/>
      <c r="H641" s="1"/>
      <c r="I641" s="1"/>
      <c r="J641" s="1"/>
      <c r="K641" s="1"/>
      <c r="L641" s="1"/>
      <c r="M641" s="1"/>
      <c r="N641" s="1"/>
      <c r="O641" s="1"/>
      <c r="P641" s="1"/>
      <c r="Q641" s="1"/>
      <c r="R641" s="1"/>
      <c r="S641" s="1"/>
      <c r="T641" s="1"/>
      <c r="U641" s="1"/>
      <c r="V641" s="1"/>
      <c r="W641" s="1"/>
      <c r="X641" s="1"/>
      <c r="Y641" s="1"/>
    </row>
    <row r="642" spans="1:25">
      <c r="A642" s="9"/>
      <c r="B642" s="8"/>
      <c r="C642" s="114"/>
      <c r="D642" s="3"/>
      <c r="E642" s="3"/>
      <c r="F642" s="1"/>
      <c r="G642" s="1"/>
      <c r="H642" s="1"/>
      <c r="I642" s="1"/>
      <c r="J642" s="1"/>
      <c r="K642" s="1"/>
      <c r="L642" s="1"/>
      <c r="M642" s="1"/>
      <c r="N642" s="1"/>
      <c r="O642" s="1"/>
      <c r="P642" s="1"/>
      <c r="Q642" s="1"/>
      <c r="R642" s="1"/>
      <c r="S642" s="1"/>
      <c r="T642" s="1"/>
      <c r="U642" s="1"/>
      <c r="V642" s="1"/>
      <c r="W642" s="1"/>
      <c r="X642" s="1"/>
      <c r="Y642" s="1"/>
    </row>
    <row r="643" spans="1:25">
      <c r="A643" s="9"/>
      <c r="B643" s="8"/>
      <c r="C643" s="114"/>
      <c r="D643" s="3"/>
      <c r="E643" s="3"/>
      <c r="F643" s="1"/>
      <c r="G643" s="1"/>
      <c r="H643" s="1"/>
      <c r="I643" s="1"/>
      <c r="J643" s="1"/>
      <c r="K643" s="1"/>
      <c r="L643" s="1"/>
      <c r="M643" s="1"/>
      <c r="N643" s="1"/>
      <c r="O643" s="1"/>
      <c r="P643" s="1"/>
      <c r="Q643" s="1"/>
      <c r="R643" s="1"/>
      <c r="S643" s="1"/>
      <c r="T643" s="1"/>
      <c r="U643" s="1"/>
      <c r="V643" s="1"/>
      <c r="W643" s="1"/>
      <c r="X643" s="1"/>
      <c r="Y643" s="1"/>
    </row>
    <row r="644" spans="1:25">
      <c r="A644" s="9"/>
      <c r="B644" s="8"/>
      <c r="C644" s="114"/>
      <c r="D644" s="3"/>
      <c r="E644" s="3"/>
      <c r="F644" s="1"/>
      <c r="G644" s="1"/>
      <c r="H644" s="1"/>
      <c r="I644" s="1"/>
      <c r="J644" s="1"/>
      <c r="K644" s="1"/>
      <c r="L644" s="1"/>
      <c r="M644" s="1"/>
      <c r="N644" s="1"/>
      <c r="O644" s="1"/>
      <c r="P644" s="1"/>
      <c r="Q644" s="1"/>
      <c r="R644" s="1"/>
      <c r="S644" s="1"/>
      <c r="T644" s="1"/>
      <c r="U644" s="1"/>
      <c r="V644" s="1"/>
      <c r="W644" s="1"/>
      <c r="X644" s="1"/>
      <c r="Y644" s="1"/>
    </row>
    <row r="645" spans="1:25">
      <c r="A645" s="9"/>
      <c r="B645" s="8"/>
      <c r="C645" s="114"/>
      <c r="D645" s="3"/>
      <c r="E645" s="3"/>
      <c r="F645" s="1"/>
      <c r="G645" s="1"/>
      <c r="H645" s="1"/>
      <c r="I645" s="1"/>
      <c r="J645" s="1"/>
      <c r="K645" s="1"/>
      <c r="L645" s="1"/>
      <c r="M645" s="1"/>
      <c r="N645" s="1"/>
      <c r="O645" s="1"/>
      <c r="P645" s="1"/>
      <c r="Q645" s="1"/>
      <c r="R645" s="1"/>
      <c r="S645" s="1"/>
      <c r="T645" s="1"/>
      <c r="U645" s="1"/>
      <c r="V645" s="1"/>
      <c r="W645" s="1"/>
      <c r="X645" s="1"/>
      <c r="Y645" s="1"/>
    </row>
    <row r="646" spans="1:25">
      <c r="A646" s="9"/>
      <c r="B646" s="8"/>
      <c r="C646" s="114"/>
      <c r="D646" s="3"/>
      <c r="E646" s="3"/>
      <c r="F646" s="1"/>
      <c r="G646" s="1"/>
      <c r="H646" s="1"/>
      <c r="I646" s="1"/>
      <c r="J646" s="1"/>
      <c r="K646" s="1"/>
      <c r="L646" s="1"/>
      <c r="M646" s="1"/>
      <c r="N646" s="1"/>
      <c r="O646" s="1"/>
      <c r="P646" s="1"/>
      <c r="Q646" s="1"/>
      <c r="R646" s="1"/>
      <c r="S646" s="1"/>
      <c r="T646" s="1"/>
      <c r="U646" s="1"/>
      <c r="V646" s="1"/>
      <c r="W646" s="1"/>
      <c r="X646" s="1"/>
      <c r="Y646" s="1"/>
    </row>
    <row r="647" spans="1:25">
      <c r="A647" s="9"/>
      <c r="B647" s="8"/>
      <c r="C647" s="114"/>
      <c r="D647" s="3"/>
      <c r="E647" s="3"/>
      <c r="F647" s="1"/>
      <c r="G647" s="1"/>
      <c r="H647" s="1"/>
      <c r="I647" s="1"/>
      <c r="J647" s="1"/>
      <c r="K647" s="1"/>
      <c r="L647" s="1"/>
      <c r="M647" s="1"/>
      <c r="N647" s="1"/>
      <c r="O647" s="1"/>
      <c r="P647" s="1"/>
      <c r="Q647" s="1"/>
      <c r="R647" s="1"/>
      <c r="S647" s="1"/>
      <c r="T647" s="1"/>
      <c r="U647" s="1"/>
      <c r="V647" s="1"/>
      <c r="W647" s="1"/>
      <c r="X647" s="1"/>
      <c r="Y647" s="1"/>
    </row>
    <row r="648" spans="1:25">
      <c r="A648" s="9"/>
      <c r="B648" s="8"/>
      <c r="C648" s="114"/>
      <c r="D648" s="3"/>
      <c r="E648" s="3"/>
      <c r="F648" s="1"/>
      <c r="G648" s="1"/>
      <c r="H648" s="1"/>
      <c r="I648" s="1"/>
      <c r="J648" s="1"/>
      <c r="K648" s="1"/>
      <c r="L648" s="1"/>
      <c r="M648" s="1"/>
      <c r="N648" s="1"/>
      <c r="O648" s="1"/>
      <c r="P648" s="1"/>
      <c r="Q648" s="1"/>
      <c r="R648" s="1"/>
      <c r="S648" s="1"/>
      <c r="T648" s="1"/>
      <c r="U648" s="1"/>
      <c r="V648" s="1"/>
      <c r="W648" s="1"/>
      <c r="X648" s="1"/>
      <c r="Y648" s="1"/>
    </row>
    <row r="649" spans="1:25">
      <c r="A649" s="9"/>
      <c r="B649" s="8"/>
      <c r="C649" s="114"/>
      <c r="D649" s="3"/>
      <c r="E649" s="3"/>
      <c r="F649" s="1"/>
      <c r="G649" s="1"/>
      <c r="H649" s="1"/>
      <c r="I649" s="1"/>
      <c r="J649" s="1"/>
      <c r="K649" s="1"/>
      <c r="L649" s="1"/>
      <c r="M649" s="1"/>
      <c r="N649" s="1"/>
      <c r="O649" s="1"/>
      <c r="P649" s="1"/>
      <c r="Q649" s="1"/>
      <c r="R649" s="1"/>
      <c r="S649" s="1"/>
      <c r="T649" s="1"/>
      <c r="U649" s="1"/>
      <c r="V649" s="1"/>
      <c r="W649" s="1"/>
      <c r="X649" s="1"/>
      <c r="Y649" s="1"/>
    </row>
    <row r="650" spans="1:25">
      <c r="A650" s="9"/>
      <c r="B650" s="8"/>
      <c r="C650" s="114"/>
      <c r="D650" s="3"/>
      <c r="E650" s="3"/>
      <c r="F650" s="1"/>
      <c r="G650" s="1"/>
      <c r="H650" s="1"/>
      <c r="I650" s="1"/>
      <c r="J650" s="1"/>
      <c r="K650" s="1"/>
      <c r="L650" s="1"/>
      <c r="M650" s="1"/>
      <c r="N650" s="1"/>
      <c r="O650" s="1"/>
      <c r="P650" s="1"/>
      <c r="Q650" s="1"/>
      <c r="R650" s="1"/>
      <c r="S650" s="1"/>
      <c r="T650" s="1"/>
      <c r="U650" s="1"/>
      <c r="V650" s="1"/>
      <c r="W650" s="1"/>
      <c r="X650" s="1"/>
      <c r="Y650" s="1"/>
    </row>
    <row r="651" spans="1:25">
      <c r="A651" s="9"/>
      <c r="B651" s="8"/>
      <c r="C651" s="114"/>
      <c r="D651" s="3"/>
      <c r="E651" s="3"/>
      <c r="F651" s="1"/>
      <c r="G651" s="1"/>
      <c r="H651" s="1"/>
      <c r="I651" s="1"/>
      <c r="J651" s="1"/>
      <c r="K651" s="1"/>
      <c r="L651" s="1"/>
      <c r="M651" s="1"/>
      <c r="N651" s="1"/>
      <c r="O651" s="1"/>
      <c r="P651" s="1"/>
      <c r="Q651" s="1"/>
      <c r="R651" s="1"/>
      <c r="S651" s="1"/>
      <c r="T651" s="1"/>
      <c r="U651" s="1"/>
      <c r="V651" s="1"/>
      <c r="W651" s="1"/>
      <c r="X651" s="1"/>
      <c r="Y651" s="1"/>
    </row>
    <row r="652" spans="1:25">
      <c r="A652" s="9"/>
      <c r="B652" s="8"/>
      <c r="C652" s="114"/>
      <c r="D652" s="3"/>
      <c r="E652" s="3"/>
      <c r="F652" s="1"/>
      <c r="G652" s="1"/>
      <c r="H652" s="1"/>
      <c r="I652" s="1"/>
      <c r="J652" s="1"/>
      <c r="K652" s="1"/>
      <c r="L652" s="1"/>
      <c r="M652" s="1"/>
      <c r="N652" s="1"/>
      <c r="O652" s="1"/>
      <c r="P652" s="1"/>
      <c r="Q652" s="1"/>
      <c r="R652" s="1"/>
      <c r="S652" s="1"/>
      <c r="T652" s="1"/>
      <c r="U652" s="1"/>
      <c r="V652" s="1"/>
      <c r="W652" s="1"/>
      <c r="X652" s="1"/>
      <c r="Y652" s="1"/>
    </row>
    <row r="653" spans="1:25">
      <c r="A653" s="9"/>
      <c r="B653" s="8"/>
      <c r="C653" s="114"/>
      <c r="D653" s="3"/>
      <c r="E653" s="3"/>
      <c r="F653" s="1"/>
      <c r="G653" s="1"/>
      <c r="H653" s="1"/>
      <c r="I653" s="1"/>
      <c r="J653" s="1"/>
      <c r="K653" s="1"/>
      <c r="L653" s="1"/>
      <c r="M653" s="1"/>
      <c r="N653" s="1"/>
      <c r="O653" s="1"/>
      <c r="P653" s="1"/>
      <c r="Q653" s="1"/>
      <c r="R653" s="1"/>
      <c r="S653" s="1"/>
      <c r="T653" s="1"/>
      <c r="U653" s="1"/>
      <c r="V653" s="1"/>
      <c r="W653" s="1"/>
      <c r="X653" s="1"/>
      <c r="Y653" s="1"/>
    </row>
    <row r="654" spans="1:25">
      <c r="A654" s="9"/>
      <c r="B654" s="8"/>
      <c r="C654" s="114"/>
      <c r="D654" s="3"/>
      <c r="E654" s="3"/>
      <c r="F654" s="1"/>
      <c r="G654" s="1"/>
      <c r="H654" s="1"/>
      <c r="I654" s="1"/>
      <c r="J654" s="1"/>
      <c r="K654" s="1"/>
      <c r="L654" s="1"/>
      <c r="M654" s="1"/>
      <c r="N654" s="1"/>
      <c r="O654" s="1"/>
      <c r="P654" s="1"/>
      <c r="Q654" s="1"/>
      <c r="R654" s="1"/>
      <c r="S654" s="1"/>
      <c r="T654" s="1"/>
      <c r="U654" s="1"/>
      <c r="V654" s="1"/>
      <c r="W654" s="1"/>
      <c r="X654" s="1"/>
      <c r="Y654" s="1"/>
    </row>
    <row r="655" spans="1:25">
      <c r="A655" s="9"/>
      <c r="B655" s="8"/>
      <c r="C655" s="114"/>
      <c r="D655" s="3"/>
      <c r="E655" s="3"/>
      <c r="F655" s="1"/>
      <c r="G655" s="1"/>
      <c r="H655" s="1"/>
      <c r="I655" s="1"/>
      <c r="J655" s="1"/>
      <c r="K655" s="1"/>
      <c r="L655" s="1"/>
      <c r="M655" s="1"/>
      <c r="N655" s="1"/>
      <c r="O655" s="1"/>
      <c r="P655" s="1"/>
      <c r="Q655" s="1"/>
      <c r="R655" s="1"/>
      <c r="S655" s="1"/>
      <c r="T655" s="1"/>
      <c r="U655" s="1"/>
      <c r="V655" s="1"/>
      <c r="W655" s="1"/>
      <c r="X655" s="1"/>
      <c r="Y655" s="1"/>
    </row>
    <row r="656" spans="1:25">
      <c r="A656" s="9"/>
      <c r="B656" s="8"/>
      <c r="C656" s="114"/>
      <c r="D656" s="3"/>
      <c r="E656" s="3"/>
      <c r="F656" s="1"/>
      <c r="G656" s="1"/>
      <c r="H656" s="1"/>
      <c r="I656" s="1"/>
      <c r="J656" s="1"/>
      <c r="K656" s="1"/>
      <c r="L656" s="1"/>
      <c r="M656" s="1"/>
      <c r="N656" s="1"/>
      <c r="O656" s="1"/>
      <c r="P656" s="1"/>
      <c r="Q656" s="1"/>
      <c r="R656" s="1"/>
      <c r="S656" s="1"/>
      <c r="T656" s="1"/>
      <c r="U656" s="1"/>
      <c r="V656" s="1"/>
      <c r="W656" s="1"/>
      <c r="X656" s="1"/>
      <c r="Y656" s="1"/>
    </row>
    <row r="657" spans="1:25">
      <c r="A657" s="9"/>
      <c r="B657" s="8"/>
      <c r="C657" s="114"/>
      <c r="D657" s="3"/>
      <c r="E657" s="3"/>
      <c r="F657" s="1"/>
      <c r="G657" s="1"/>
      <c r="H657" s="1"/>
      <c r="I657" s="1"/>
      <c r="J657" s="1"/>
      <c r="K657" s="1"/>
      <c r="L657" s="1"/>
      <c r="M657" s="1"/>
      <c r="N657" s="1"/>
      <c r="O657" s="1"/>
      <c r="P657" s="1"/>
      <c r="Q657" s="1"/>
      <c r="R657" s="1"/>
      <c r="S657" s="1"/>
      <c r="T657" s="1"/>
      <c r="U657" s="1"/>
      <c r="V657" s="1"/>
      <c r="W657" s="1"/>
      <c r="X657" s="1"/>
      <c r="Y657" s="1"/>
    </row>
    <row r="658" spans="1:25">
      <c r="A658" s="9"/>
      <c r="B658" s="8"/>
      <c r="C658" s="114"/>
      <c r="D658" s="3"/>
      <c r="E658" s="3"/>
      <c r="F658" s="1"/>
      <c r="G658" s="1"/>
      <c r="H658" s="1"/>
      <c r="I658" s="1"/>
      <c r="J658" s="1"/>
      <c r="K658" s="1"/>
      <c r="L658" s="1"/>
      <c r="M658" s="1"/>
      <c r="N658" s="1"/>
      <c r="O658" s="1"/>
      <c r="P658" s="1"/>
      <c r="Q658" s="1"/>
      <c r="R658" s="1"/>
      <c r="S658" s="1"/>
      <c r="T658" s="1"/>
      <c r="U658" s="1"/>
      <c r="V658" s="1"/>
      <c r="W658" s="1"/>
      <c r="X658" s="1"/>
      <c r="Y658" s="1"/>
    </row>
    <row r="659" spans="1:25">
      <c r="A659" s="9"/>
      <c r="B659" s="8"/>
      <c r="C659" s="114"/>
      <c r="D659" s="3"/>
      <c r="E659" s="3"/>
      <c r="F659" s="1"/>
      <c r="G659" s="1"/>
      <c r="H659" s="1"/>
      <c r="I659" s="1"/>
      <c r="J659" s="1"/>
      <c r="K659" s="1"/>
      <c r="L659" s="1"/>
      <c r="M659" s="1"/>
      <c r="N659" s="1"/>
      <c r="O659" s="1"/>
      <c r="P659" s="1"/>
      <c r="Q659" s="1"/>
      <c r="R659" s="1"/>
      <c r="S659" s="1"/>
      <c r="T659" s="1"/>
      <c r="U659" s="1"/>
      <c r="V659" s="1"/>
      <c r="W659" s="1"/>
      <c r="X659" s="1"/>
      <c r="Y659" s="1"/>
    </row>
    <row r="660" spans="1:25">
      <c r="A660" s="9"/>
      <c r="B660" s="8"/>
      <c r="C660" s="114"/>
      <c r="D660" s="3"/>
      <c r="E660" s="3"/>
      <c r="F660" s="1"/>
      <c r="G660" s="1"/>
      <c r="H660" s="1"/>
      <c r="I660" s="1"/>
      <c r="J660" s="1"/>
      <c r="K660" s="1"/>
      <c r="L660" s="1"/>
      <c r="M660" s="1"/>
      <c r="N660" s="1"/>
      <c r="O660" s="1"/>
      <c r="P660" s="1"/>
      <c r="Q660" s="1"/>
      <c r="R660" s="1"/>
      <c r="S660" s="1"/>
      <c r="T660" s="1"/>
      <c r="U660" s="1"/>
      <c r="V660" s="1"/>
      <c r="W660" s="1"/>
      <c r="X660" s="1"/>
      <c r="Y660" s="1"/>
    </row>
    <row r="661" spans="1:25">
      <c r="A661" s="9"/>
      <c r="B661" s="8"/>
      <c r="C661" s="114"/>
      <c r="D661" s="3"/>
      <c r="E661" s="3"/>
      <c r="F661" s="1"/>
      <c r="G661" s="1"/>
      <c r="H661" s="1"/>
      <c r="I661" s="1"/>
      <c r="J661" s="1"/>
      <c r="K661" s="1"/>
      <c r="L661" s="1"/>
      <c r="M661" s="1"/>
      <c r="N661" s="1"/>
      <c r="O661" s="1"/>
      <c r="P661" s="1"/>
      <c r="Q661" s="1"/>
      <c r="R661" s="1"/>
      <c r="S661" s="1"/>
      <c r="T661" s="1"/>
      <c r="U661" s="1"/>
      <c r="V661" s="1"/>
      <c r="W661" s="1"/>
      <c r="X661" s="1"/>
      <c r="Y661" s="1"/>
    </row>
    <row r="662" spans="1:25">
      <c r="A662" s="9"/>
      <c r="B662" s="8"/>
      <c r="C662" s="114"/>
      <c r="D662" s="3"/>
      <c r="E662" s="3"/>
      <c r="F662" s="1"/>
      <c r="G662" s="1"/>
      <c r="H662" s="1"/>
      <c r="I662" s="1"/>
      <c r="J662" s="1"/>
      <c r="K662" s="1"/>
      <c r="L662" s="1"/>
      <c r="M662" s="1"/>
      <c r="N662" s="1"/>
      <c r="O662" s="1"/>
      <c r="P662" s="1"/>
      <c r="Q662" s="1"/>
      <c r="R662" s="1"/>
      <c r="S662" s="1"/>
      <c r="T662" s="1"/>
      <c r="U662" s="1"/>
      <c r="V662" s="1"/>
      <c r="W662" s="1"/>
      <c r="X662" s="1"/>
      <c r="Y662" s="1"/>
    </row>
    <row r="663" spans="1:25">
      <c r="A663" s="9"/>
      <c r="B663" s="8"/>
      <c r="C663" s="114"/>
      <c r="D663" s="3"/>
      <c r="E663" s="3"/>
      <c r="F663" s="1"/>
      <c r="G663" s="1"/>
      <c r="H663" s="1"/>
      <c r="I663" s="1"/>
      <c r="J663" s="1"/>
      <c r="K663" s="1"/>
      <c r="L663" s="1"/>
      <c r="M663" s="1"/>
      <c r="N663" s="1"/>
      <c r="O663" s="1"/>
      <c r="P663" s="1"/>
      <c r="Q663" s="1"/>
      <c r="R663" s="1"/>
      <c r="S663" s="1"/>
      <c r="T663" s="1"/>
      <c r="U663" s="1"/>
      <c r="V663" s="1"/>
      <c r="W663" s="1"/>
      <c r="X663" s="1"/>
      <c r="Y663" s="1"/>
    </row>
    <row r="664" spans="1:25">
      <c r="A664" s="9"/>
      <c r="B664" s="8"/>
      <c r="C664" s="114"/>
      <c r="D664" s="3"/>
      <c r="E664" s="3"/>
      <c r="F664" s="1"/>
      <c r="G664" s="1"/>
      <c r="H664" s="1"/>
      <c r="I664" s="1"/>
      <c r="J664" s="1"/>
      <c r="K664" s="1"/>
      <c r="L664" s="1"/>
      <c r="M664" s="1"/>
      <c r="N664" s="1"/>
      <c r="O664" s="1"/>
      <c r="P664" s="1"/>
      <c r="Q664" s="1"/>
      <c r="R664" s="1"/>
      <c r="S664" s="1"/>
      <c r="T664" s="1"/>
      <c r="U664" s="1"/>
      <c r="V664" s="1"/>
      <c r="W664" s="1"/>
      <c r="X664" s="1"/>
      <c r="Y664" s="1"/>
    </row>
    <row r="665" spans="1:25">
      <c r="A665" s="9"/>
      <c r="B665" s="8"/>
      <c r="C665" s="114"/>
      <c r="D665" s="3"/>
      <c r="E665" s="3"/>
      <c r="F665" s="1"/>
      <c r="G665" s="1"/>
      <c r="H665" s="1"/>
      <c r="I665" s="1"/>
      <c r="J665" s="1"/>
      <c r="K665" s="1"/>
      <c r="L665" s="1"/>
      <c r="M665" s="1"/>
      <c r="N665" s="1"/>
      <c r="O665" s="1"/>
      <c r="P665" s="1"/>
      <c r="Q665" s="1"/>
      <c r="R665" s="1"/>
      <c r="S665" s="1"/>
      <c r="T665" s="1"/>
      <c r="U665" s="1"/>
      <c r="V665" s="1"/>
      <c r="W665" s="1"/>
      <c r="X665" s="1"/>
      <c r="Y665" s="1"/>
    </row>
    <row r="666" spans="1:25">
      <c r="A666" s="9"/>
      <c r="B666" s="8"/>
      <c r="C666" s="114"/>
      <c r="D666" s="3"/>
      <c r="E666" s="3"/>
      <c r="F666" s="1"/>
      <c r="G666" s="1"/>
      <c r="H666" s="1"/>
      <c r="I666" s="1"/>
      <c r="J666" s="1"/>
      <c r="K666" s="1"/>
      <c r="L666" s="1"/>
      <c r="M666" s="1"/>
      <c r="N666" s="1"/>
      <c r="O666" s="1"/>
      <c r="P666" s="1"/>
      <c r="Q666" s="1"/>
      <c r="R666" s="1"/>
      <c r="S666" s="1"/>
      <c r="T666" s="1"/>
      <c r="U666" s="1"/>
      <c r="V666" s="1"/>
      <c r="W666" s="1"/>
      <c r="X666" s="1"/>
      <c r="Y666" s="1"/>
    </row>
    <row r="667" spans="1:25">
      <c r="A667" s="9"/>
      <c r="B667" s="8"/>
      <c r="C667" s="114"/>
      <c r="D667" s="3"/>
      <c r="E667" s="3"/>
      <c r="F667" s="1"/>
      <c r="G667" s="1"/>
      <c r="H667" s="1"/>
      <c r="I667" s="1"/>
      <c r="J667" s="1"/>
      <c r="K667" s="1"/>
      <c r="L667" s="1"/>
      <c r="M667" s="1"/>
      <c r="N667" s="1"/>
      <c r="O667" s="1"/>
      <c r="P667" s="1"/>
      <c r="Q667" s="1"/>
      <c r="R667" s="1"/>
      <c r="S667" s="1"/>
      <c r="T667" s="1"/>
      <c r="U667" s="1"/>
      <c r="V667" s="1"/>
      <c r="W667" s="1"/>
      <c r="X667" s="1"/>
      <c r="Y667" s="1"/>
    </row>
    <row r="668" spans="1:25">
      <c r="A668" s="9"/>
      <c r="B668" s="8"/>
      <c r="C668" s="114"/>
      <c r="D668" s="3"/>
      <c r="E668" s="3"/>
      <c r="F668" s="1"/>
      <c r="G668" s="1"/>
      <c r="H668" s="1"/>
      <c r="I668" s="1"/>
      <c r="J668" s="1"/>
      <c r="K668" s="1"/>
      <c r="L668" s="1"/>
      <c r="M668" s="1"/>
      <c r="N668" s="1"/>
      <c r="O668" s="1"/>
      <c r="P668" s="1"/>
      <c r="Q668" s="1"/>
      <c r="R668" s="1"/>
      <c r="S668" s="1"/>
      <c r="T668" s="1"/>
      <c r="U668" s="1"/>
      <c r="V668" s="1"/>
      <c r="W668" s="1"/>
      <c r="X668" s="1"/>
      <c r="Y668" s="1"/>
    </row>
    <row r="669" spans="1:25">
      <c r="A669" s="9"/>
      <c r="B669" s="8"/>
      <c r="C669" s="114"/>
      <c r="D669" s="3"/>
      <c r="E669" s="3"/>
      <c r="F669" s="1"/>
      <c r="G669" s="1"/>
      <c r="H669" s="1"/>
      <c r="I669" s="1"/>
      <c r="J669" s="1"/>
      <c r="K669" s="1"/>
      <c r="L669" s="1"/>
      <c r="M669" s="1"/>
      <c r="N669" s="1"/>
      <c r="O669" s="1"/>
      <c r="P669" s="1"/>
      <c r="Q669" s="1"/>
      <c r="R669" s="1"/>
      <c r="S669" s="1"/>
      <c r="T669" s="1"/>
      <c r="U669" s="1"/>
      <c r="V669" s="1"/>
      <c r="W669" s="1"/>
      <c r="X669" s="1"/>
      <c r="Y669" s="1"/>
    </row>
    <row r="670" spans="1:25">
      <c r="A670" s="9"/>
      <c r="B670" s="8"/>
      <c r="C670" s="114"/>
      <c r="D670" s="3"/>
      <c r="E670" s="3"/>
      <c r="F670" s="1"/>
      <c r="G670" s="1"/>
      <c r="H670" s="1"/>
      <c r="I670" s="1"/>
      <c r="J670" s="1"/>
      <c r="K670" s="1"/>
      <c r="L670" s="1"/>
      <c r="M670" s="1"/>
      <c r="N670" s="1"/>
      <c r="O670" s="1"/>
      <c r="P670" s="1"/>
      <c r="Q670" s="1"/>
      <c r="R670" s="1"/>
      <c r="S670" s="1"/>
      <c r="T670" s="1"/>
      <c r="U670" s="1"/>
      <c r="V670" s="1"/>
      <c r="W670" s="1"/>
      <c r="X670" s="1"/>
      <c r="Y670" s="1"/>
    </row>
    <row r="671" spans="1:25">
      <c r="A671" s="9"/>
      <c r="B671" s="8"/>
      <c r="C671" s="114"/>
      <c r="D671" s="3"/>
      <c r="E671" s="3"/>
      <c r="F671" s="1"/>
      <c r="G671" s="1"/>
      <c r="H671" s="1"/>
      <c r="I671" s="1"/>
      <c r="J671" s="1"/>
      <c r="K671" s="1"/>
      <c r="L671" s="1"/>
      <c r="M671" s="1"/>
      <c r="N671" s="1"/>
      <c r="O671" s="1"/>
      <c r="P671" s="1"/>
      <c r="Q671" s="1"/>
      <c r="R671" s="1"/>
      <c r="S671" s="1"/>
      <c r="T671" s="1"/>
      <c r="U671" s="1"/>
      <c r="V671" s="1"/>
      <c r="W671" s="1"/>
      <c r="X671" s="1"/>
      <c r="Y671" s="1"/>
    </row>
    <row r="672" spans="1:25">
      <c r="A672" s="9"/>
      <c r="B672" s="8"/>
      <c r="C672" s="114"/>
      <c r="D672" s="3"/>
      <c r="E672" s="3"/>
      <c r="F672" s="1"/>
      <c r="G672" s="1"/>
      <c r="H672" s="1"/>
      <c r="I672" s="1"/>
      <c r="J672" s="1"/>
      <c r="K672" s="1"/>
      <c r="L672" s="1"/>
      <c r="M672" s="1"/>
      <c r="N672" s="1"/>
      <c r="O672" s="1"/>
      <c r="P672" s="1"/>
      <c r="Q672" s="1"/>
      <c r="R672" s="1"/>
      <c r="S672" s="1"/>
      <c r="T672" s="1"/>
      <c r="U672" s="1"/>
      <c r="V672" s="1"/>
      <c r="W672" s="1"/>
      <c r="X672" s="1"/>
      <c r="Y672" s="1"/>
    </row>
    <row r="673" spans="1:25">
      <c r="A673" s="9"/>
      <c r="B673" s="8"/>
      <c r="C673" s="114"/>
      <c r="D673" s="3"/>
      <c r="E673" s="3"/>
      <c r="F673" s="1"/>
      <c r="G673" s="1"/>
      <c r="H673" s="1"/>
      <c r="I673" s="1"/>
      <c r="J673" s="1"/>
      <c r="K673" s="1"/>
      <c r="L673" s="1"/>
      <c r="M673" s="1"/>
      <c r="N673" s="1"/>
      <c r="O673" s="1"/>
      <c r="P673" s="1"/>
      <c r="Q673" s="1"/>
      <c r="R673" s="1"/>
      <c r="S673" s="1"/>
      <c r="T673" s="1"/>
      <c r="U673" s="1"/>
      <c r="V673" s="1"/>
      <c r="W673" s="1"/>
      <c r="X673" s="1"/>
      <c r="Y673" s="1"/>
    </row>
    <row r="674" spans="1:25">
      <c r="A674" s="9"/>
      <c r="B674" s="8"/>
      <c r="C674" s="114"/>
      <c r="D674" s="3"/>
      <c r="E674" s="3"/>
      <c r="F674" s="1"/>
      <c r="G674" s="1"/>
      <c r="H674" s="1"/>
      <c r="I674" s="1"/>
      <c r="J674" s="1"/>
      <c r="K674" s="1"/>
      <c r="L674" s="1"/>
      <c r="M674" s="1"/>
      <c r="N674" s="1"/>
      <c r="O674" s="1"/>
      <c r="P674" s="1"/>
      <c r="Q674" s="1"/>
      <c r="R674" s="1"/>
      <c r="S674" s="1"/>
      <c r="T674" s="1"/>
      <c r="U674" s="1"/>
      <c r="V674" s="1"/>
      <c r="W674" s="1"/>
      <c r="X674" s="1"/>
      <c r="Y674" s="1"/>
    </row>
    <row r="675" spans="1:25">
      <c r="A675" s="9"/>
      <c r="B675" s="8"/>
      <c r="C675" s="114"/>
      <c r="D675" s="3"/>
      <c r="E675" s="3"/>
      <c r="F675" s="1"/>
      <c r="G675" s="1"/>
      <c r="H675" s="1"/>
      <c r="I675" s="1"/>
      <c r="J675" s="1"/>
      <c r="K675" s="1"/>
      <c r="L675" s="1"/>
      <c r="M675" s="1"/>
      <c r="N675" s="1"/>
      <c r="O675" s="1"/>
      <c r="P675" s="1"/>
      <c r="Q675" s="1"/>
      <c r="R675" s="1"/>
      <c r="S675" s="1"/>
      <c r="T675" s="1"/>
      <c r="U675" s="1"/>
      <c r="V675" s="1"/>
      <c r="W675" s="1"/>
      <c r="X675" s="1"/>
      <c r="Y675" s="1"/>
    </row>
    <row r="676" spans="1:25">
      <c r="A676" s="9"/>
      <c r="B676" s="8"/>
      <c r="C676" s="114"/>
      <c r="D676" s="3"/>
      <c r="E676" s="3"/>
      <c r="F676" s="1"/>
      <c r="G676" s="1"/>
      <c r="H676" s="1"/>
      <c r="I676" s="1"/>
      <c r="J676" s="1"/>
      <c r="K676" s="1"/>
      <c r="L676" s="1"/>
      <c r="M676" s="1"/>
      <c r="N676" s="1"/>
      <c r="O676" s="1"/>
      <c r="P676" s="1"/>
      <c r="Q676" s="1"/>
      <c r="R676" s="1"/>
      <c r="S676" s="1"/>
      <c r="T676" s="1"/>
      <c r="U676" s="1"/>
      <c r="V676" s="1"/>
      <c r="W676" s="1"/>
      <c r="X676" s="1"/>
      <c r="Y676" s="1"/>
    </row>
    <row r="677" spans="1:25">
      <c r="A677" s="9"/>
      <c r="B677" s="8"/>
      <c r="C677" s="114"/>
      <c r="D677" s="3"/>
      <c r="E677" s="3"/>
      <c r="F677" s="1"/>
      <c r="G677" s="1"/>
      <c r="H677" s="1"/>
      <c r="I677" s="1"/>
      <c r="J677" s="1"/>
      <c r="K677" s="1"/>
      <c r="L677" s="1"/>
      <c r="M677" s="1"/>
      <c r="N677" s="1"/>
      <c r="O677" s="1"/>
      <c r="P677" s="1"/>
      <c r="Q677" s="1"/>
      <c r="R677" s="1"/>
      <c r="S677" s="1"/>
      <c r="T677" s="1"/>
      <c r="U677" s="1"/>
      <c r="V677" s="1"/>
      <c r="W677" s="1"/>
      <c r="X677" s="1"/>
      <c r="Y677" s="1"/>
    </row>
    <row r="678" spans="1:25">
      <c r="A678" s="9"/>
      <c r="B678" s="8"/>
      <c r="C678" s="114"/>
      <c r="D678" s="3"/>
      <c r="E678" s="3"/>
      <c r="F678" s="1"/>
      <c r="G678" s="1"/>
      <c r="H678" s="1"/>
      <c r="I678" s="1"/>
      <c r="J678" s="1"/>
      <c r="K678" s="1"/>
      <c r="L678" s="1"/>
      <c r="M678" s="1"/>
      <c r="N678" s="1"/>
      <c r="O678" s="1"/>
      <c r="P678" s="1"/>
      <c r="Q678" s="1"/>
      <c r="R678" s="1"/>
      <c r="S678" s="1"/>
      <c r="T678" s="1"/>
      <c r="U678" s="1"/>
      <c r="V678" s="1"/>
      <c r="W678" s="1"/>
      <c r="X678" s="1"/>
      <c r="Y678" s="1"/>
    </row>
    <row r="679" spans="1:25">
      <c r="A679" s="9"/>
      <c r="B679" s="8"/>
      <c r="C679" s="114"/>
      <c r="D679" s="3"/>
      <c r="E679" s="3"/>
      <c r="F679" s="1"/>
      <c r="G679" s="1"/>
      <c r="H679" s="1"/>
      <c r="I679" s="1"/>
      <c r="J679" s="1"/>
      <c r="K679" s="1"/>
      <c r="L679" s="1"/>
      <c r="M679" s="1"/>
      <c r="N679" s="1"/>
      <c r="O679" s="1"/>
      <c r="P679" s="1"/>
      <c r="Q679" s="1"/>
      <c r="R679" s="1"/>
      <c r="S679" s="1"/>
      <c r="T679" s="1"/>
      <c r="U679" s="1"/>
      <c r="V679" s="1"/>
      <c r="W679" s="1"/>
      <c r="X679" s="1"/>
      <c r="Y679" s="1"/>
    </row>
    <row r="680" spans="1:25">
      <c r="A680" s="9"/>
      <c r="B680" s="8"/>
      <c r="C680" s="114"/>
      <c r="D680" s="3"/>
      <c r="E680" s="3"/>
      <c r="F680" s="1"/>
      <c r="G680" s="1"/>
      <c r="H680" s="1"/>
      <c r="I680" s="1"/>
      <c r="J680" s="1"/>
      <c r="K680" s="1"/>
      <c r="L680" s="1"/>
      <c r="M680" s="1"/>
      <c r="N680" s="1"/>
      <c r="O680" s="1"/>
      <c r="P680" s="1"/>
      <c r="Q680" s="1"/>
      <c r="R680" s="1"/>
      <c r="S680" s="1"/>
      <c r="T680" s="1"/>
      <c r="U680" s="1"/>
      <c r="V680" s="1"/>
      <c r="W680" s="1"/>
      <c r="X680" s="1"/>
      <c r="Y680" s="1"/>
    </row>
    <row r="681" spans="1:25">
      <c r="A681" s="9"/>
      <c r="B681" s="8"/>
      <c r="C681" s="114"/>
      <c r="D681" s="3"/>
      <c r="E681" s="3"/>
      <c r="F681" s="1"/>
      <c r="G681" s="1"/>
      <c r="H681" s="1"/>
      <c r="I681" s="1"/>
      <c r="J681" s="1"/>
      <c r="K681" s="1"/>
      <c r="L681" s="1"/>
      <c r="M681" s="1"/>
      <c r="N681" s="1"/>
      <c r="O681" s="1"/>
      <c r="P681" s="1"/>
      <c r="Q681" s="1"/>
      <c r="R681" s="1"/>
      <c r="S681" s="1"/>
      <c r="T681" s="1"/>
      <c r="U681" s="1"/>
      <c r="V681" s="1"/>
      <c r="W681" s="1"/>
      <c r="X681" s="1"/>
      <c r="Y681" s="1"/>
    </row>
    <row r="682" spans="1:25">
      <c r="A682" s="9"/>
      <c r="B682" s="8"/>
      <c r="C682" s="114"/>
      <c r="D682" s="3"/>
      <c r="E682" s="3"/>
      <c r="F682" s="1"/>
      <c r="G682" s="1"/>
      <c r="H682" s="1"/>
      <c r="I682" s="1"/>
      <c r="J682" s="1"/>
      <c r="K682" s="1"/>
      <c r="L682" s="1"/>
      <c r="M682" s="1"/>
      <c r="N682" s="1"/>
      <c r="O682" s="1"/>
      <c r="P682" s="1"/>
      <c r="Q682" s="1"/>
      <c r="R682" s="1"/>
      <c r="S682" s="1"/>
      <c r="T682" s="1"/>
      <c r="U682" s="1"/>
      <c r="V682" s="1"/>
      <c r="W682" s="1"/>
      <c r="X682" s="1"/>
      <c r="Y682" s="1"/>
    </row>
    <row r="683" spans="1:25">
      <c r="A683" s="9"/>
      <c r="B683" s="8"/>
      <c r="C683" s="114"/>
      <c r="D683" s="3"/>
      <c r="E683" s="3"/>
      <c r="F683" s="1"/>
      <c r="G683" s="1"/>
      <c r="H683" s="1"/>
      <c r="I683" s="1"/>
      <c r="J683" s="1"/>
      <c r="K683" s="1"/>
      <c r="L683" s="1"/>
      <c r="M683" s="1"/>
      <c r="N683" s="1"/>
      <c r="O683" s="1"/>
      <c r="P683" s="1"/>
      <c r="Q683" s="1"/>
      <c r="R683" s="1"/>
      <c r="S683" s="1"/>
      <c r="T683" s="1"/>
      <c r="U683" s="1"/>
      <c r="V683" s="1"/>
      <c r="W683" s="1"/>
      <c r="X683" s="1"/>
      <c r="Y683" s="1"/>
    </row>
    <row r="684" spans="1:25">
      <c r="A684" s="9"/>
      <c r="B684" s="8"/>
      <c r="C684" s="114"/>
      <c r="D684" s="3"/>
      <c r="E684" s="3"/>
      <c r="F684" s="1"/>
      <c r="G684" s="1"/>
      <c r="H684" s="1"/>
      <c r="I684" s="1"/>
      <c r="J684" s="1"/>
      <c r="K684" s="1"/>
      <c r="L684" s="1"/>
      <c r="M684" s="1"/>
      <c r="N684" s="1"/>
      <c r="O684" s="1"/>
      <c r="P684" s="1"/>
      <c r="Q684" s="1"/>
      <c r="R684" s="1"/>
      <c r="S684" s="1"/>
      <c r="T684" s="1"/>
      <c r="U684" s="1"/>
      <c r="V684" s="1"/>
      <c r="W684" s="1"/>
      <c r="X684" s="1"/>
      <c r="Y684" s="1"/>
    </row>
    <row r="685" spans="1:25">
      <c r="A685" s="9"/>
      <c r="B685" s="8"/>
      <c r="C685" s="114"/>
      <c r="D685" s="3"/>
      <c r="E685" s="3"/>
      <c r="F685" s="1"/>
      <c r="G685" s="1"/>
      <c r="H685" s="1"/>
      <c r="I685" s="1"/>
      <c r="J685" s="1"/>
      <c r="K685" s="1"/>
      <c r="L685" s="1"/>
      <c r="M685" s="1"/>
      <c r="N685" s="1"/>
      <c r="O685" s="1"/>
      <c r="P685" s="1"/>
      <c r="Q685" s="1"/>
      <c r="R685" s="1"/>
      <c r="S685" s="1"/>
      <c r="T685" s="1"/>
      <c r="U685" s="1"/>
      <c r="V685" s="1"/>
      <c r="W685" s="1"/>
      <c r="X685" s="1"/>
      <c r="Y685" s="1"/>
    </row>
    <row r="686" spans="1:25">
      <c r="A686" s="9"/>
      <c r="B686" s="8"/>
      <c r="C686" s="114"/>
      <c r="D686" s="3"/>
      <c r="E686" s="3"/>
      <c r="F686" s="1"/>
      <c r="G686" s="1"/>
      <c r="H686" s="1"/>
      <c r="I686" s="1"/>
      <c r="J686" s="1"/>
      <c r="K686" s="1"/>
      <c r="L686" s="1"/>
      <c r="M686" s="1"/>
      <c r="N686" s="1"/>
      <c r="O686" s="1"/>
      <c r="P686" s="1"/>
      <c r="Q686" s="1"/>
      <c r="R686" s="1"/>
      <c r="S686" s="1"/>
      <c r="T686" s="1"/>
      <c r="U686" s="1"/>
      <c r="V686" s="1"/>
      <c r="W686" s="1"/>
      <c r="X686" s="1"/>
      <c r="Y686" s="1"/>
    </row>
    <row r="687" spans="1:25">
      <c r="A687" s="9"/>
      <c r="B687" s="8"/>
      <c r="C687" s="114"/>
      <c r="D687" s="3"/>
      <c r="E687" s="3"/>
      <c r="F687" s="1"/>
      <c r="G687" s="1"/>
      <c r="H687" s="1"/>
      <c r="I687" s="1"/>
      <c r="J687" s="1"/>
      <c r="K687" s="1"/>
      <c r="L687" s="1"/>
      <c r="M687" s="1"/>
      <c r="N687" s="1"/>
      <c r="O687" s="1"/>
      <c r="P687" s="1"/>
      <c r="Q687" s="1"/>
      <c r="R687" s="1"/>
      <c r="S687" s="1"/>
      <c r="T687" s="1"/>
      <c r="U687" s="1"/>
      <c r="V687" s="1"/>
      <c r="W687" s="1"/>
      <c r="X687" s="1"/>
      <c r="Y687" s="1"/>
    </row>
    <row r="688" spans="1:25">
      <c r="A688" s="9"/>
      <c r="B688" s="8"/>
      <c r="C688" s="114"/>
      <c r="D688" s="3"/>
      <c r="E688" s="3"/>
      <c r="F688" s="1"/>
      <c r="G688" s="1"/>
      <c r="H688" s="1"/>
      <c r="I688" s="1"/>
      <c r="J688" s="1"/>
      <c r="K688" s="1"/>
      <c r="L688" s="1"/>
      <c r="M688" s="1"/>
      <c r="N688" s="1"/>
      <c r="O688" s="1"/>
      <c r="P688" s="1"/>
      <c r="Q688" s="1"/>
      <c r="R688" s="1"/>
      <c r="S688" s="1"/>
      <c r="T688" s="1"/>
      <c r="U688" s="1"/>
      <c r="V688" s="1"/>
      <c r="W688" s="1"/>
      <c r="X688" s="1"/>
      <c r="Y688" s="1"/>
    </row>
    <row r="689" spans="1:25">
      <c r="A689" s="9"/>
      <c r="B689" s="8"/>
      <c r="C689" s="114"/>
      <c r="D689" s="3"/>
      <c r="E689" s="3"/>
      <c r="F689" s="1"/>
      <c r="G689" s="1"/>
      <c r="H689" s="1"/>
      <c r="I689" s="1"/>
      <c r="J689" s="1"/>
      <c r="K689" s="1"/>
      <c r="L689" s="1"/>
      <c r="M689" s="1"/>
      <c r="N689" s="1"/>
      <c r="O689" s="1"/>
      <c r="P689" s="1"/>
      <c r="Q689" s="1"/>
      <c r="R689" s="1"/>
      <c r="S689" s="1"/>
      <c r="T689" s="1"/>
      <c r="U689" s="1"/>
      <c r="V689" s="1"/>
      <c r="W689" s="1"/>
      <c r="X689" s="1"/>
      <c r="Y689" s="1"/>
    </row>
    <row r="690" spans="1:25">
      <c r="A690" s="9"/>
      <c r="B690" s="8"/>
      <c r="C690" s="114"/>
      <c r="D690" s="3"/>
      <c r="E690" s="3"/>
      <c r="F690" s="1"/>
      <c r="G690" s="1"/>
      <c r="H690" s="1"/>
      <c r="I690" s="1"/>
      <c r="J690" s="1"/>
      <c r="K690" s="1"/>
      <c r="L690" s="1"/>
      <c r="M690" s="1"/>
      <c r="N690" s="1"/>
      <c r="O690" s="1"/>
      <c r="P690" s="1"/>
      <c r="Q690" s="1"/>
      <c r="R690" s="1"/>
      <c r="S690" s="1"/>
      <c r="T690" s="1"/>
      <c r="U690" s="1"/>
      <c r="V690" s="1"/>
      <c r="W690" s="1"/>
      <c r="X690" s="1"/>
      <c r="Y690" s="1"/>
    </row>
    <row r="691" spans="1:25">
      <c r="A691" s="9"/>
      <c r="B691" s="8"/>
      <c r="C691" s="114"/>
      <c r="D691" s="3"/>
      <c r="E691" s="3"/>
      <c r="F691" s="1"/>
      <c r="G691" s="1"/>
      <c r="H691" s="1"/>
      <c r="I691" s="1"/>
      <c r="J691" s="1"/>
      <c r="K691" s="1"/>
      <c r="L691" s="1"/>
      <c r="M691" s="1"/>
      <c r="N691" s="1"/>
      <c r="O691" s="1"/>
      <c r="P691" s="1"/>
      <c r="Q691" s="1"/>
      <c r="R691" s="1"/>
      <c r="S691" s="1"/>
      <c r="T691" s="1"/>
      <c r="U691" s="1"/>
      <c r="V691" s="1"/>
      <c r="W691" s="1"/>
      <c r="X691" s="1"/>
      <c r="Y691" s="1"/>
    </row>
    <row r="692" spans="1:25">
      <c r="A692" s="9"/>
      <c r="B692" s="8"/>
      <c r="C692" s="114"/>
      <c r="D692" s="3"/>
      <c r="E692" s="3"/>
      <c r="F692" s="1"/>
      <c r="G692" s="1"/>
      <c r="H692" s="1"/>
      <c r="I692" s="1"/>
      <c r="J692" s="1"/>
      <c r="K692" s="1"/>
      <c r="L692" s="1"/>
      <c r="M692" s="1"/>
      <c r="N692" s="1"/>
      <c r="O692" s="1"/>
      <c r="P692" s="1"/>
      <c r="Q692" s="1"/>
      <c r="R692" s="1"/>
      <c r="S692" s="1"/>
      <c r="T692" s="1"/>
      <c r="U692" s="1"/>
      <c r="V692" s="1"/>
      <c r="W692" s="1"/>
      <c r="X692" s="1"/>
      <c r="Y692" s="1"/>
    </row>
    <row r="693" spans="1:25">
      <c r="A693" s="9"/>
      <c r="B693" s="8"/>
      <c r="C693" s="114"/>
      <c r="D693" s="3"/>
      <c r="E693" s="3"/>
      <c r="F693" s="1"/>
      <c r="G693" s="1"/>
      <c r="H693" s="1"/>
      <c r="I693" s="1"/>
      <c r="J693" s="1"/>
      <c r="K693" s="1"/>
      <c r="L693" s="1"/>
      <c r="M693" s="1"/>
      <c r="N693" s="1"/>
      <c r="O693" s="1"/>
      <c r="P693" s="1"/>
      <c r="Q693" s="1"/>
      <c r="R693" s="1"/>
      <c r="S693" s="1"/>
      <c r="T693" s="1"/>
      <c r="U693" s="1"/>
      <c r="V693" s="1"/>
      <c r="W693" s="1"/>
      <c r="X693" s="1"/>
      <c r="Y693" s="1"/>
    </row>
    <row r="694" spans="1:25">
      <c r="A694" s="9"/>
      <c r="B694" s="8"/>
      <c r="C694" s="114"/>
      <c r="D694" s="3"/>
      <c r="E694" s="3"/>
      <c r="F694" s="1"/>
      <c r="G694" s="1"/>
      <c r="H694" s="1"/>
      <c r="I694" s="1"/>
      <c r="J694" s="1"/>
      <c r="K694" s="1"/>
      <c r="L694" s="1"/>
      <c r="M694" s="1"/>
      <c r="N694" s="1"/>
      <c r="O694" s="1"/>
      <c r="P694" s="1"/>
      <c r="Q694" s="1"/>
      <c r="R694" s="1"/>
      <c r="S694" s="1"/>
      <c r="T694" s="1"/>
      <c r="U694" s="1"/>
      <c r="V694" s="1"/>
      <c r="W694" s="1"/>
      <c r="X694" s="1"/>
      <c r="Y694" s="1"/>
    </row>
    <row r="695" spans="1:25">
      <c r="A695" s="9"/>
      <c r="B695" s="8"/>
      <c r="C695" s="114"/>
      <c r="D695" s="3"/>
      <c r="E695" s="3"/>
      <c r="F695" s="1"/>
      <c r="G695" s="1"/>
      <c r="H695" s="1"/>
      <c r="I695" s="1"/>
      <c r="J695" s="1"/>
      <c r="K695" s="1"/>
      <c r="L695" s="1"/>
      <c r="M695" s="1"/>
      <c r="N695" s="1"/>
      <c r="O695" s="1"/>
      <c r="P695" s="1"/>
      <c r="Q695" s="1"/>
      <c r="R695" s="1"/>
      <c r="S695" s="1"/>
      <c r="T695" s="1"/>
      <c r="U695" s="1"/>
      <c r="V695" s="1"/>
      <c r="W695" s="1"/>
      <c r="X695" s="1"/>
      <c r="Y695" s="1"/>
    </row>
    <row r="696" spans="1:25">
      <c r="A696" s="9"/>
      <c r="B696" s="8"/>
      <c r="C696" s="114"/>
      <c r="D696" s="3"/>
      <c r="E696" s="3"/>
      <c r="F696" s="1"/>
      <c r="G696" s="1"/>
      <c r="H696" s="1"/>
      <c r="I696" s="1"/>
      <c r="J696" s="1"/>
      <c r="K696" s="1"/>
      <c r="L696" s="1"/>
      <c r="M696" s="1"/>
      <c r="N696" s="1"/>
      <c r="O696" s="1"/>
      <c r="P696" s="1"/>
      <c r="Q696" s="1"/>
      <c r="R696" s="1"/>
      <c r="S696" s="1"/>
      <c r="T696" s="1"/>
      <c r="U696" s="1"/>
      <c r="V696" s="1"/>
      <c r="W696" s="1"/>
      <c r="X696" s="1"/>
      <c r="Y696" s="1"/>
    </row>
    <row r="697" spans="1:25">
      <c r="A697" s="9"/>
      <c r="B697" s="8"/>
      <c r="C697" s="114"/>
      <c r="D697" s="3"/>
      <c r="E697" s="3"/>
      <c r="F697" s="1"/>
      <c r="G697" s="1"/>
      <c r="H697" s="1"/>
      <c r="I697" s="1"/>
      <c r="J697" s="1"/>
      <c r="K697" s="1"/>
      <c r="L697" s="1"/>
      <c r="M697" s="1"/>
      <c r="N697" s="1"/>
      <c r="O697" s="1"/>
      <c r="P697" s="1"/>
      <c r="Q697" s="1"/>
      <c r="R697" s="1"/>
      <c r="S697" s="1"/>
      <c r="T697" s="1"/>
      <c r="U697" s="1"/>
      <c r="V697" s="1"/>
      <c r="W697" s="1"/>
      <c r="X697" s="1"/>
      <c r="Y697" s="1"/>
    </row>
    <row r="698" spans="1:25">
      <c r="A698" s="9"/>
      <c r="B698" s="8"/>
      <c r="C698" s="114"/>
      <c r="D698" s="3"/>
      <c r="E698" s="3"/>
      <c r="F698" s="1"/>
      <c r="G698" s="1"/>
      <c r="H698" s="1"/>
      <c r="I698" s="1"/>
      <c r="J698" s="1"/>
      <c r="K698" s="1"/>
      <c r="L698" s="1"/>
      <c r="M698" s="1"/>
      <c r="N698" s="1"/>
      <c r="O698" s="1"/>
      <c r="P698" s="1"/>
      <c r="Q698" s="1"/>
      <c r="R698" s="1"/>
      <c r="S698" s="1"/>
      <c r="T698" s="1"/>
      <c r="U698" s="1"/>
      <c r="V698" s="1"/>
      <c r="W698" s="1"/>
      <c r="X698" s="1"/>
      <c r="Y698" s="1"/>
    </row>
    <row r="699" spans="1:25">
      <c r="A699" s="9"/>
      <c r="B699" s="8"/>
      <c r="C699" s="114"/>
      <c r="D699" s="3"/>
      <c r="E699" s="3"/>
      <c r="F699" s="1"/>
      <c r="G699" s="1"/>
      <c r="H699" s="1"/>
      <c r="I699" s="1"/>
      <c r="J699" s="1"/>
      <c r="K699" s="1"/>
      <c r="L699" s="1"/>
      <c r="M699" s="1"/>
      <c r="N699" s="1"/>
      <c r="O699" s="1"/>
      <c r="P699" s="1"/>
      <c r="Q699" s="1"/>
      <c r="R699" s="1"/>
      <c r="S699" s="1"/>
      <c r="T699" s="1"/>
      <c r="U699" s="1"/>
      <c r="V699" s="1"/>
      <c r="W699" s="1"/>
      <c r="X699" s="1"/>
      <c r="Y699" s="1"/>
    </row>
    <row r="700" spans="1:25">
      <c r="A700" s="9"/>
      <c r="B700" s="8"/>
      <c r="C700" s="114"/>
      <c r="D700" s="3"/>
      <c r="E700" s="3"/>
      <c r="F700" s="1"/>
      <c r="G700" s="1"/>
      <c r="H700" s="1"/>
      <c r="I700" s="1"/>
      <c r="J700" s="1"/>
      <c r="K700" s="1"/>
      <c r="L700" s="1"/>
      <c r="M700" s="1"/>
      <c r="N700" s="1"/>
      <c r="O700" s="1"/>
      <c r="P700" s="1"/>
      <c r="Q700" s="1"/>
      <c r="R700" s="1"/>
      <c r="S700" s="1"/>
      <c r="T700" s="1"/>
      <c r="U700" s="1"/>
      <c r="V700" s="1"/>
      <c r="W700" s="1"/>
      <c r="X700" s="1"/>
      <c r="Y700" s="1"/>
    </row>
    <row r="701" spans="1:25">
      <c r="A701" s="9"/>
      <c r="B701" s="8"/>
      <c r="C701" s="114"/>
      <c r="D701" s="3"/>
      <c r="E701" s="3"/>
      <c r="F701" s="1"/>
      <c r="G701" s="1"/>
      <c r="H701" s="1"/>
      <c r="I701" s="1"/>
      <c r="J701" s="1"/>
      <c r="K701" s="1"/>
      <c r="L701" s="1"/>
      <c r="M701" s="1"/>
      <c r="N701" s="1"/>
      <c r="O701" s="1"/>
      <c r="P701" s="1"/>
      <c r="Q701" s="1"/>
      <c r="R701" s="1"/>
      <c r="S701" s="1"/>
      <c r="T701" s="1"/>
      <c r="U701" s="1"/>
      <c r="V701" s="1"/>
      <c r="W701" s="1"/>
      <c r="X701" s="1"/>
      <c r="Y701" s="1"/>
    </row>
    <row r="702" spans="1:25">
      <c r="A702" s="9"/>
      <c r="B702" s="8"/>
      <c r="C702" s="114"/>
      <c r="D702" s="3"/>
      <c r="E702" s="3"/>
      <c r="F702" s="1"/>
      <c r="G702" s="1"/>
      <c r="H702" s="1"/>
      <c r="I702" s="1"/>
      <c r="J702" s="1"/>
      <c r="K702" s="1"/>
      <c r="L702" s="1"/>
      <c r="M702" s="1"/>
      <c r="N702" s="1"/>
      <c r="O702" s="1"/>
      <c r="P702" s="1"/>
      <c r="Q702" s="1"/>
      <c r="R702" s="1"/>
      <c r="S702" s="1"/>
      <c r="T702" s="1"/>
      <c r="U702" s="1"/>
      <c r="V702" s="1"/>
      <c r="W702" s="1"/>
      <c r="X702" s="1"/>
      <c r="Y702" s="1"/>
    </row>
    <row r="703" spans="1:25">
      <c r="A703" s="9"/>
      <c r="B703" s="8"/>
      <c r="C703" s="114"/>
      <c r="D703" s="3"/>
      <c r="E703" s="3"/>
      <c r="F703" s="1"/>
      <c r="G703" s="1"/>
      <c r="H703" s="1"/>
      <c r="I703" s="1"/>
      <c r="J703" s="1"/>
      <c r="K703" s="1"/>
      <c r="L703" s="1"/>
      <c r="M703" s="1"/>
      <c r="N703" s="1"/>
      <c r="O703" s="1"/>
      <c r="P703" s="1"/>
      <c r="Q703" s="1"/>
      <c r="R703" s="1"/>
      <c r="S703" s="1"/>
      <c r="T703" s="1"/>
      <c r="U703" s="1"/>
      <c r="V703" s="1"/>
      <c r="W703" s="1"/>
      <c r="X703" s="1"/>
      <c r="Y703" s="1"/>
    </row>
    <row r="704" spans="1:25">
      <c r="A704" s="9"/>
      <c r="B704" s="8"/>
      <c r="C704" s="114"/>
      <c r="D704" s="3"/>
      <c r="E704" s="3"/>
      <c r="F704" s="1"/>
      <c r="G704" s="1"/>
      <c r="H704" s="1"/>
      <c r="I704" s="1"/>
      <c r="J704" s="1"/>
      <c r="K704" s="1"/>
      <c r="L704" s="1"/>
      <c r="M704" s="1"/>
      <c r="N704" s="1"/>
      <c r="O704" s="1"/>
      <c r="P704" s="1"/>
      <c r="Q704" s="1"/>
      <c r="R704" s="1"/>
      <c r="S704" s="1"/>
      <c r="T704" s="1"/>
      <c r="U704" s="1"/>
      <c r="V704" s="1"/>
      <c r="W704" s="1"/>
      <c r="X704" s="1"/>
      <c r="Y704" s="1"/>
    </row>
    <row r="705" spans="1:25">
      <c r="A705" s="9"/>
      <c r="B705" s="8"/>
      <c r="C705" s="114"/>
      <c r="D705" s="3"/>
      <c r="E705" s="3"/>
      <c r="F705" s="1"/>
      <c r="G705" s="1"/>
      <c r="H705" s="1"/>
      <c r="I705" s="1"/>
      <c r="J705" s="1"/>
      <c r="K705" s="1"/>
      <c r="L705" s="1"/>
      <c r="M705" s="1"/>
      <c r="N705" s="1"/>
      <c r="O705" s="1"/>
      <c r="P705" s="1"/>
      <c r="Q705" s="1"/>
      <c r="R705" s="1"/>
      <c r="S705" s="1"/>
      <c r="T705" s="1"/>
      <c r="U705" s="1"/>
      <c r="V705" s="1"/>
      <c r="W705" s="1"/>
      <c r="X705" s="1"/>
      <c r="Y705" s="1"/>
    </row>
    <row r="706" spans="1:25">
      <c r="A706" s="9"/>
      <c r="B706" s="8"/>
      <c r="C706" s="114"/>
      <c r="D706" s="3"/>
      <c r="E706" s="3"/>
      <c r="F706" s="1"/>
      <c r="G706" s="1"/>
      <c r="H706" s="1"/>
      <c r="I706" s="1"/>
      <c r="J706" s="1"/>
      <c r="K706" s="1"/>
      <c r="L706" s="1"/>
      <c r="M706" s="1"/>
      <c r="N706" s="1"/>
      <c r="O706" s="1"/>
      <c r="P706" s="1"/>
      <c r="Q706" s="1"/>
      <c r="R706" s="1"/>
      <c r="S706" s="1"/>
      <c r="T706" s="1"/>
      <c r="U706" s="1"/>
      <c r="V706" s="1"/>
      <c r="W706" s="1"/>
      <c r="X706" s="1"/>
      <c r="Y706" s="1"/>
    </row>
    <row r="707" spans="1:25">
      <c r="A707" s="9"/>
      <c r="B707" s="8"/>
      <c r="C707" s="114"/>
      <c r="D707" s="3"/>
      <c r="E707" s="3"/>
      <c r="F707" s="1"/>
      <c r="G707" s="1"/>
      <c r="H707" s="1"/>
      <c r="I707" s="1"/>
      <c r="J707" s="1"/>
      <c r="K707" s="1"/>
      <c r="L707" s="1"/>
      <c r="M707" s="1"/>
      <c r="N707" s="1"/>
      <c r="O707" s="1"/>
      <c r="P707" s="1"/>
      <c r="Q707" s="1"/>
      <c r="R707" s="1"/>
      <c r="S707" s="1"/>
      <c r="T707" s="1"/>
      <c r="U707" s="1"/>
      <c r="V707" s="1"/>
      <c r="W707" s="1"/>
      <c r="X707" s="1"/>
      <c r="Y707" s="1"/>
    </row>
    <row r="708" spans="1:25">
      <c r="A708" s="9"/>
      <c r="B708" s="8"/>
      <c r="C708" s="114"/>
      <c r="D708" s="3"/>
      <c r="E708" s="3"/>
      <c r="F708" s="1"/>
      <c r="G708" s="1"/>
      <c r="H708" s="1"/>
      <c r="I708" s="1"/>
      <c r="J708" s="1"/>
      <c r="K708" s="1"/>
      <c r="L708" s="1"/>
      <c r="M708" s="1"/>
      <c r="N708" s="1"/>
      <c r="O708" s="1"/>
      <c r="P708" s="1"/>
      <c r="Q708" s="1"/>
      <c r="R708" s="1"/>
      <c r="S708" s="1"/>
      <c r="T708" s="1"/>
      <c r="U708" s="1"/>
      <c r="V708" s="1"/>
      <c r="W708" s="1"/>
      <c r="X708" s="1"/>
      <c r="Y708" s="1"/>
    </row>
    <row r="709" spans="1:25">
      <c r="A709" s="9"/>
      <c r="B709" s="8"/>
      <c r="C709" s="114"/>
      <c r="D709" s="3"/>
      <c r="E709" s="3"/>
      <c r="F709" s="1"/>
      <c r="G709" s="1"/>
      <c r="H709" s="1"/>
      <c r="I709" s="1"/>
      <c r="J709" s="1"/>
      <c r="K709" s="1"/>
      <c r="L709" s="1"/>
      <c r="M709" s="1"/>
      <c r="N709" s="1"/>
      <c r="O709" s="1"/>
      <c r="P709" s="1"/>
      <c r="Q709" s="1"/>
      <c r="R709" s="1"/>
      <c r="S709" s="1"/>
      <c r="T709" s="1"/>
      <c r="U709" s="1"/>
      <c r="V709" s="1"/>
      <c r="W709" s="1"/>
      <c r="X709" s="1"/>
      <c r="Y709" s="1"/>
    </row>
    <row r="710" spans="1:25">
      <c r="A710" s="9"/>
      <c r="B710" s="8"/>
      <c r="C710" s="114"/>
      <c r="D710" s="3"/>
      <c r="E710" s="3"/>
      <c r="F710" s="1"/>
      <c r="G710" s="1"/>
      <c r="H710" s="1"/>
      <c r="I710" s="1"/>
      <c r="J710" s="1"/>
      <c r="K710" s="1"/>
      <c r="L710" s="1"/>
      <c r="M710" s="1"/>
      <c r="N710" s="1"/>
      <c r="O710" s="1"/>
      <c r="P710" s="1"/>
      <c r="Q710" s="1"/>
      <c r="R710" s="1"/>
      <c r="S710" s="1"/>
      <c r="T710" s="1"/>
      <c r="U710" s="1"/>
      <c r="V710" s="1"/>
      <c r="W710" s="1"/>
      <c r="X710" s="1"/>
      <c r="Y710" s="1"/>
    </row>
    <row r="711" spans="1:25">
      <c r="A711" s="9"/>
      <c r="B711" s="8"/>
      <c r="C711" s="114"/>
      <c r="D711" s="3"/>
      <c r="E711" s="3"/>
      <c r="F711" s="1"/>
      <c r="G711" s="1"/>
      <c r="H711" s="1"/>
      <c r="I711" s="1"/>
      <c r="J711" s="1"/>
      <c r="K711" s="1"/>
      <c r="L711" s="1"/>
      <c r="M711" s="1"/>
      <c r="N711" s="1"/>
      <c r="O711" s="1"/>
      <c r="P711" s="1"/>
      <c r="Q711" s="1"/>
      <c r="R711" s="1"/>
      <c r="S711" s="1"/>
      <c r="T711" s="1"/>
      <c r="U711" s="1"/>
      <c r="V711" s="1"/>
      <c r="W711" s="1"/>
      <c r="X711" s="1"/>
      <c r="Y711" s="1"/>
    </row>
    <row r="712" spans="1:25">
      <c r="A712" s="9"/>
      <c r="B712" s="8"/>
      <c r="C712" s="114"/>
      <c r="D712" s="3"/>
      <c r="E712" s="3"/>
      <c r="F712" s="1"/>
      <c r="G712" s="1"/>
      <c r="H712" s="1"/>
      <c r="I712" s="1"/>
      <c r="J712" s="1"/>
      <c r="K712" s="1"/>
      <c r="L712" s="1"/>
      <c r="M712" s="1"/>
      <c r="N712" s="1"/>
      <c r="O712" s="1"/>
      <c r="P712" s="1"/>
      <c r="Q712" s="1"/>
      <c r="R712" s="1"/>
      <c r="S712" s="1"/>
      <c r="T712" s="1"/>
      <c r="U712" s="1"/>
      <c r="V712" s="1"/>
      <c r="W712" s="1"/>
      <c r="X712" s="1"/>
      <c r="Y712" s="1"/>
    </row>
    <row r="713" spans="1:25">
      <c r="A713" s="9"/>
      <c r="B713" s="8"/>
      <c r="C713" s="114"/>
      <c r="D713" s="3"/>
      <c r="E713" s="3"/>
      <c r="F713" s="1"/>
      <c r="G713" s="1"/>
      <c r="H713" s="1"/>
      <c r="I713" s="1"/>
      <c r="J713" s="1"/>
      <c r="K713" s="1"/>
      <c r="L713" s="1"/>
      <c r="M713" s="1"/>
      <c r="N713" s="1"/>
      <c r="O713" s="1"/>
      <c r="P713" s="1"/>
      <c r="Q713" s="1"/>
      <c r="R713" s="1"/>
      <c r="S713" s="1"/>
      <c r="T713" s="1"/>
      <c r="U713" s="1"/>
      <c r="V713" s="1"/>
      <c r="W713" s="1"/>
      <c r="X713" s="1"/>
      <c r="Y713" s="1"/>
    </row>
    <row r="714" spans="1:25">
      <c r="A714" s="9"/>
      <c r="B714" s="8"/>
      <c r="C714" s="114"/>
      <c r="D714" s="3"/>
      <c r="E714" s="3"/>
      <c r="F714" s="1"/>
      <c r="G714" s="1"/>
      <c r="H714" s="1"/>
      <c r="I714" s="1"/>
      <c r="J714" s="1"/>
      <c r="K714" s="1"/>
      <c r="L714" s="1"/>
      <c r="M714" s="1"/>
      <c r="N714" s="1"/>
      <c r="O714" s="1"/>
      <c r="P714" s="1"/>
      <c r="Q714" s="1"/>
      <c r="R714" s="1"/>
      <c r="S714" s="1"/>
      <c r="T714" s="1"/>
      <c r="U714" s="1"/>
      <c r="V714" s="1"/>
      <c r="W714" s="1"/>
      <c r="X714" s="1"/>
      <c r="Y714" s="1"/>
    </row>
    <row r="715" spans="1:25">
      <c r="A715" s="9"/>
      <c r="B715" s="8"/>
      <c r="C715" s="114"/>
      <c r="D715" s="3"/>
      <c r="E715" s="3"/>
      <c r="F715" s="1"/>
      <c r="G715" s="1"/>
      <c r="H715" s="1"/>
      <c r="I715" s="1"/>
      <c r="J715" s="1"/>
      <c r="K715" s="1"/>
      <c r="L715" s="1"/>
      <c r="M715" s="1"/>
      <c r="N715" s="1"/>
      <c r="O715" s="1"/>
      <c r="P715" s="1"/>
      <c r="Q715" s="1"/>
      <c r="R715" s="1"/>
      <c r="S715" s="1"/>
      <c r="T715" s="1"/>
      <c r="U715" s="1"/>
      <c r="V715" s="1"/>
      <c r="W715" s="1"/>
      <c r="X715" s="1"/>
      <c r="Y715" s="1"/>
    </row>
    <row r="716" spans="1:25">
      <c r="A716" s="9"/>
      <c r="B716" s="8"/>
      <c r="C716" s="114"/>
      <c r="D716" s="3"/>
      <c r="E716" s="3"/>
      <c r="F716" s="1"/>
      <c r="G716" s="1"/>
      <c r="H716" s="1"/>
      <c r="I716" s="1"/>
      <c r="J716" s="1"/>
      <c r="K716" s="1"/>
      <c r="L716" s="1"/>
      <c r="M716" s="1"/>
      <c r="N716" s="1"/>
      <c r="O716" s="1"/>
      <c r="P716" s="1"/>
      <c r="Q716" s="1"/>
      <c r="R716" s="1"/>
      <c r="S716" s="1"/>
      <c r="T716" s="1"/>
      <c r="U716" s="1"/>
      <c r="V716" s="1"/>
      <c r="W716" s="1"/>
      <c r="X716" s="1"/>
      <c r="Y716" s="1"/>
    </row>
    <row r="717" spans="1:25">
      <c r="A717" s="9"/>
      <c r="B717" s="8"/>
      <c r="C717" s="114"/>
      <c r="D717" s="3"/>
      <c r="E717" s="3"/>
      <c r="F717" s="1"/>
      <c r="G717" s="1"/>
      <c r="H717" s="1"/>
      <c r="I717" s="1"/>
      <c r="J717" s="1"/>
      <c r="K717" s="1"/>
      <c r="L717" s="1"/>
      <c r="M717" s="1"/>
      <c r="N717" s="1"/>
      <c r="O717" s="1"/>
      <c r="P717" s="1"/>
      <c r="Q717" s="1"/>
      <c r="R717" s="1"/>
      <c r="S717" s="1"/>
      <c r="T717" s="1"/>
      <c r="U717" s="1"/>
      <c r="V717" s="1"/>
      <c r="W717" s="1"/>
      <c r="X717" s="1"/>
      <c r="Y717" s="1"/>
    </row>
    <row r="718" spans="1:25">
      <c r="A718" s="9"/>
      <c r="B718" s="8"/>
      <c r="C718" s="114"/>
      <c r="D718" s="3"/>
      <c r="E718" s="3"/>
      <c r="F718" s="1"/>
      <c r="G718" s="1"/>
      <c r="H718" s="1"/>
      <c r="I718" s="1"/>
      <c r="J718" s="1"/>
      <c r="K718" s="1"/>
      <c r="L718" s="1"/>
      <c r="M718" s="1"/>
      <c r="N718" s="1"/>
      <c r="O718" s="1"/>
      <c r="P718" s="1"/>
      <c r="Q718" s="1"/>
      <c r="R718" s="1"/>
      <c r="S718" s="1"/>
      <c r="T718" s="1"/>
      <c r="U718" s="1"/>
      <c r="V718" s="1"/>
      <c r="W718" s="1"/>
      <c r="X718" s="1"/>
      <c r="Y718" s="1"/>
    </row>
    <row r="719" spans="1:25">
      <c r="A719" s="9"/>
      <c r="B719" s="8"/>
      <c r="C719" s="114"/>
      <c r="D719" s="3"/>
      <c r="E719" s="3"/>
      <c r="F719" s="1"/>
      <c r="G719" s="1"/>
      <c r="H719" s="1"/>
      <c r="I719" s="1"/>
      <c r="J719" s="1"/>
      <c r="K719" s="1"/>
      <c r="L719" s="1"/>
      <c r="M719" s="1"/>
      <c r="N719" s="1"/>
      <c r="O719" s="1"/>
      <c r="P719" s="1"/>
      <c r="Q719" s="1"/>
      <c r="R719" s="1"/>
      <c r="S719" s="1"/>
      <c r="T719" s="1"/>
      <c r="U719" s="1"/>
      <c r="V719" s="1"/>
      <c r="W719" s="1"/>
      <c r="X719" s="1"/>
      <c r="Y719" s="1"/>
    </row>
    <row r="720" spans="1:25">
      <c r="A720" s="9"/>
      <c r="B720" s="8"/>
      <c r="C720" s="114"/>
      <c r="D720" s="3"/>
      <c r="E720" s="3"/>
      <c r="F720" s="1"/>
      <c r="G720" s="1"/>
      <c r="H720" s="1"/>
      <c r="I720" s="1"/>
      <c r="J720" s="1"/>
      <c r="K720" s="1"/>
      <c r="L720" s="1"/>
      <c r="M720" s="1"/>
      <c r="N720" s="1"/>
      <c r="O720" s="1"/>
      <c r="P720" s="1"/>
      <c r="Q720" s="1"/>
      <c r="R720" s="1"/>
      <c r="S720" s="1"/>
      <c r="T720" s="1"/>
      <c r="U720" s="1"/>
      <c r="V720" s="1"/>
      <c r="W720" s="1"/>
      <c r="X720" s="1"/>
      <c r="Y720" s="1"/>
    </row>
    <row r="721" spans="1:25">
      <c r="A721" s="9"/>
      <c r="B721" s="8"/>
      <c r="C721" s="114"/>
      <c r="D721" s="3"/>
      <c r="E721" s="3"/>
      <c r="F721" s="1"/>
      <c r="G721" s="1"/>
      <c r="H721" s="1"/>
      <c r="I721" s="1"/>
      <c r="J721" s="1"/>
      <c r="K721" s="1"/>
      <c r="L721" s="1"/>
      <c r="M721" s="1"/>
      <c r="N721" s="1"/>
      <c r="O721" s="1"/>
      <c r="P721" s="1"/>
      <c r="Q721" s="1"/>
      <c r="R721" s="1"/>
      <c r="S721" s="1"/>
      <c r="T721" s="1"/>
      <c r="U721" s="1"/>
      <c r="V721" s="1"/>
      <c r="W721" s="1"/>
      <c r="X721" s="1"/>
      <c r="Y721" s="1"/>
    </row>
    <row r="722" spans="1:25">
      <c r="A722" s="9"/>
      <c r="B722" s="8"/>
      <c r="C722" s="114"/>
      <c r="D722" s="3"/>
      <c r="E722" s="3"/>
      <c r="F722" s="1"/>
      <c r="G722" s="1"/>
      <c r="H722" s="1"/>
      <c r="I722" s="1"/>
      <c r="J722" s="1"/>
      <c r="K722" s="1"/>
      <c r="L722" s="1"/>
      <c r="M722" s="1"/>
      <c r="N722" s="1"/>
      <c r="O722" s="1"/>
      <c r="P722" s="1"/>
      <c r="Q722" s="1"/>
      <c r="R722" s="1"/>
      <c r="S722" s="1"/>
      <c r="T722" s="1"/>
      <c r="U722" s="1"/>
      <c r="V722" s="1"/>
      <c r="W722" s="1"/>
      <c r="X722" s="1"/>
      <c r="Y722" s="1"/>
    </row>
    <row r="723" spans="1:25">
      <c r="A723" s="9"/>
      <c r="B723" s="8"/>
      <c r="C723" s="114"/>
      <c r="D723" s="3"/>
      <c r="E723" s="3"/>
      <c r="F723" s="1"/>
      <c r="G723" s="1"/>
      <c r="H723" s="1"/>
      <c r="I723" s="1"/>
      <c r="J723" s="1"/>
      <c r="K723" s="1"/>
      <c r="L723" s="1"/>
      <c r="M723" s="1"/>
      <c r="N723" s="1"/>
      <c r="O723" s="1"/>
      <c r="P723" s="1"/>
      <c r="Q723" s="1"/>
      <c r="R723" s="1"/>
      <c r="S723" s="1"/>
      <c r="T723" s="1"/>
      <c r="U723" s="1"/>
      <c r="V723" s="1"/>
      <c r="W723" s="1"/>
      <c r="X723" s="1"/>
      <c r="Y723" s="1"/>
    </row>
    <row r="724" spans="1:25">
      <c r="A724" s="9"/>
      <c r="B724" s="8"/>
      <c r="C724" s="114"/>
      <c r="D724" s="3"/>
      <c r="E724" s="3"/>
      <c r="F724" s="1"/>
      <c r="G724" s="1"/>
      <c r="H724" s="1"/>
      <c r="I724" s="1"/>
      <c r="J724" s="1"/>
      <c r="K724" s="1"/>
      <c r="L724" s="1"/>
      <c r="M724" s="1"/>
      <c r="N724" s="1"/>
      <c r="O724" s="1"/>
      <c r="P724" s="1"/>
      <c r="Q724" s="1"/>
      <c r="R724" s="1"/>
      <c r="S724" s="1"/>
      <c r="T724" s="1"/>
      <c r="U724" s="1"/>
      <c r="V724" s="1"/>
      <c r="W724" s="1"/>
      <c r="X724" s="1"/>
      <c r="Y724" s="1"/>
    </row>
    <row r="725" spans="1:25">
      <c r="A725" s="9"/>
      <c r="B725" s="8"/>
      <c r="C725" s="114"/>
      <c r="D725" s="3"/>
      <c r="E725" s="3"/>
      <c r="F725" s="1"/>
      <c r="G725" s="1"/>
      <c r="H725" s="1"/>
      <c r="I725" s="1"/>
      <c r="J725" s="1"/>
      <c r="K725" s="1"/>
      <c r="L725" s="1"/>
      <c r="M725" s="1"/>
      <c r="N725" s="1"/>
      <c r="O725" s="1"/>
      <c r="P725" s="1"/>
      <c r="Q725" s="1"/>
      <c r="R725" s="1"/>
      <c r="S725" s="1"/>
      <c r="T725" s="1"/>
      <c r="U725" s="1"/>
      <c r="V725" s="1"/>
      <c r="W725" s="1"/>
      <c r="X725" s="1"/>
      <c r="Y725" s="1"/>
    </row>
    <row r="726" spans="1:25">
      <c r="A726" s="9"/>
      <c r="B726" s="8"/>
      <c r="C726" s="114"/>
      <c r="D726" s="3"/>
      <c r="E726" s="3"/>
      <c r="F726" s="1"/>
      <c r="G726" s="1"/>
      <c r="H726" s="1"/>
      <c r="I726" s="1"/>
      <c r="J726" s="1"/>
      <c r="K726" s="1"/>
      <c r="L726" s="1"/>
      <c r="M726" s="1"/>
      <c r="N726" s="1"/>
      <c r="O726" s="1"/>
      <c r="P726" s="1"/>
      <c r="Q726" s="1"/>
      <c r="R726" s="1"/>
      <c r="S726" s="1"/>
      <c r="T726" s="1"/>
      <c r="U726" s="1"/>
      <c r="V726" s="1"/>
      <c r="W726" s="1"/>
      <c r="X726" s="1"/>
      <c r="Y726" s="1"/>
    </row>
    <row r="727" spans="1:25">
      <c r="A727" s="9"/>
      <c r="B727" s="8"/>
      <c r="C727" s="114"/>
      <c r="D727" s="3"/>
      <c r="E727" s="3"/>
      <c r="F727" s="1"/>
      <c r="G727" s="1"/>
      <c r="H727" s="1"/>
      <c r="I727" s="1"/>
      <c r="J727" s="1"/>
      <c r="K727" s="1"/>
      <c r="L727" s="1"/>
      <c r="M727" s="1"/>
      <c r="N727" s="1"/>
      <c r="O727" s="1"/>
      <c r="P727" s="1"/>
      <c r="Q727" s="1"/>
      <c r="R727" s="1"/>
      <c r="S727" s="1"/>
      <c r="T727" s="1"/>
      <c r="U727" s="1"/>
      <c r="V727" s="1"/>
      <c r="W727" s="1"/>
      <c r="X727" s="1"/>
      <c r="Y727" s="1"/>
    </row>
    <row r="728" spans="1:25">
      <c r="A728" s="9"/>
      <c r="B728" s="8"/>
      <c r="C728" s="114"/>
      <c r="D728" s="3"/>
      <c r="E728" s="3"/>
      <c r="F728" s="1"/>
      <c r="G728" s="1"/>
      <c r="H728" s="1"/>
      <c r="I728" s="1"/>
      <c r="J728" s="1"/>
      <c r="K728" s="1"/>
      <c r="L728" s="1"/>
      <c r="M728" s="1"/>
      <c r="N728" s="1"/>
      <c r="O728" s="1"/>
      <c r="P728" s="1"/>
      <c r="Q728" s="1"/>
      <c r="R728" s="1"/>
      <c r="S728" s="1"/>
      <c r="T728" s="1"/>
      <c r="U728" s="1"/>
      <c r="V728" s="1"/>
      <c r="W728" s="1"/>
      <c r="X728" s="1"/>
      <c r="Y728" s="1"/>
    </row>
    <row r="729" spans="1:25">
      <c r="A729" s="9"/>
      <c r="B729" s="8"/>
      <c r="C729" s="114"/>
      <c r="D729" s="3"/>
      <c r="E729" s="3"/>
      <c r="F729" s="1"/>
      <c r="G729" s="1"/>
      <c r="H729" s="1"/>
      <c r="I729" s="1"/>
      <c r="J729" s="1"/>
      <c r="K729" s="1"/>
      <c r="L729" s="1"/>
      <c r="M729" s="1"/>
      <c r="N729" s="1"/>
      <c r="O729" s="1"/>
      <c r="P729" s="1"/>
      <c r="Q729" s="1"/>
      <c r="R729" s="1"/>
      <c r="S729" s="1"/>
      <c r="T729" s="1"/>
      <c r="U729" s="1"/>
      <c r="V729" s="1"/>
      <c r="W729" s="1"/>
      <c r="X729" s="1"/>
      <c r="Y729" s="1"/>
    </row>
    <row r="730" spans="1:25">
      <c r="A730" s="9"/>
      <c r="B730" s="8"/>
      <c r="C730" s="114"/>
      <c r="D730" s="3"/>
      <c r="E730" s="3"/>
      <c r="F730" s="1"/>
      <c r="G730" s="1"/>
      <c r="H730" s="1"/>
      <c r="I730" s="1"/>
      <c r="J730" s="1"/>
      <c r="K730" s="1"/>
      <c r="L730" s="1"/>
      <c r="M730" s="1"/>
      <c r="N730" s="1"/>
      <c r="O730" s="1"/>
      <c r="P730" s="1"/>
      <c r="Q730" s="1"/>
      <c r="R730" s="1"/>
      <c r="S730" s="1"/>
      <c r="T730" s="1"/>
      <c r="U730" s="1"/>
      <c r="V730" s="1"/>
      <c r="W730" s="1"/>
      <c r="X730" s="1"/>
      <c r="Y730" s="1"/>
    </row>
    <row r="731" spans="1:25">
      <c r="A731" s="9"/>
      <c r="B731" s="8"/>
      <c r="C731" s="114"/>
      <c r="D731" s="3"/>
      <c r="E731" s="3"/>
      <c r="F731" s="1"/>
      <c r="G731" s="1"/>
      <c r="H731" s="1"/>
      <c r="I731" s="1"/>
      <c r="J731" s="1"/>
      <c r="K731" s="1"/>
      <c r="L731" s="1"/>
      <c r="M731" s="1"/>
      <c r="N731" s="1"/>
      <c r="O731" s="1"/>
      <c r="P731" s="1"/>
      <c r="Q731" s="1"/>
      <c r="R731" s="1"/>
      <c r="S731" s="1"/>
      <c r="T731" s="1"/>
      <c r="U731" s="1"/>
      <c r="V731" s="1"/>
      <c r="W731" s="1"/>
      <c r="X731" s="1"/>
      <c r="Y731" s="1"/>
    </row>
    <row r="732" spans="1:25">
      <c r="A732" s="9"/>
      <c r="B732" s="8"/>
      <c r="C732" s="114"/>
      <c r="D732" s="3"/>
      <c r="E732" s="3"/>
      <c r="F732" s="1"/>
      <c r="G732" s="1"/>
      <c r="H732" s="1"/>
      <c r="I732" s="1"/>
      <c r="J732" s="1"/>
      <c r="K732" s="1"/>
      <c r="L732" s="1"/>
      <c r="M732" s="1"/>
      <c r="N732" s="1"/>
      <c r="O732" s="1"/>
      <c r="P732" s="1"/>
      <c r="Q732" s="1"/>
      <c r="R732" s="1"/>
      <c r="S732" s="1"/>
      <c r="T732" s="1"/>
      <c r="U732" s="1"/>
      <c r="V732" s="1"/>
      <c r="W732" s="1"/>
      <c r="X732" s="1"/>
      <c r="Y732" s="1"/>
    </row>
    <row r="733" spans="1:25">
      <c r="A733" s="9"/>
      <c r="B733" s="8"/>
      <c r="C733" s="114"/>
      <c r="D733" s="3"/>
      <c r="E733" s="3"/>
      <c r="F733" s="1"/>
      <c r="G733" s="1"/>
      <c r="H733" s="1"/>
      <c r="I733" s="1"/>
      <c r="J733" s="1"/>
      <c r="K733" s="1"/>
      <c r="L733" s="1"/>
      <c r="M733" s="1"/>
      <c r="N733" s="1"/>
      <c r="O733" s="1"/>
      <c r="P733" s="1"/>
      <c r="Q733" s="1"/>
      <c r="R733" s="1"/>
      <c r="S733" s="1"/>
      <c r="T733" s="1"/>
      <c r="U733" s="1"/>
      <c r="V733" s="1"/>
      <c r="W733" s="1"/>
      <c r="X733" s="1"/>
      <c r="Y733" s="1"/>
    </row>
    <row r="734" spans="1:25">
      <c r="A734" s="9"/>
      <c r="B734" s="8"/>
      <c r="C734" s="114"/>
      <c r="D734" s="3"/>
      <c r="E734" s="3"/>
      <c r="F734" s="1"/>
      <c r="G734" s="1"/>
      <c r="H734" s="1"/>
      <c r="I734" s="1"/>
      <c r="J734" s="1"/>
      <c r="K734" s="1"/>
      <c r="L734" s="1"/>
      <c r="M734" s="1"/>
      <c r="N734" s="1"/>
      <c r="O734" s="1"/>
      <c r="P734" s="1"/>
      <c r="Q734" s="1"/>
      <c r="R734" s="1"/>
      <c r="S734" s="1"/>
      <c r="T734" s="1"/>
      <c r="U734" s="1"/>
      <c r="V734" s="1"/>
      <c r="W734" s="1"/>
      <c r="X734" s="1"/>
      <c r="Y734" s="1"/>
    </row>
    <row r="735" spans="1:25">
      <c r="A735" s="9"/>
      <c r="B735" s="8"/>
      <c r="C735" s="114"/>
      <c r="D735" s="3"/>
      <c r="E735" s="3"/>
      <c r="F735" s="1"/>
      <c r="G735" s="1"/>
      <c r="H735" s="1"/>
      <c r="I735" s="1"/>
      <c r="J735" s="1"/>
      <c r="K735" s="1"/>
      <c r="L735" s="1"/>
      <c r="M735" s="1"/>
      <c r="N735" s="1"/>
      <c r="O735" s="1"/>
      <c r="P735" s="1"/>
      <c r="Q735" s="1"/>
      <c r="R735" s="1"/>
      <c r="S735" s="1"/>
      <c r="T735" s="1"/>
      <c r="U735" s="1"/>
      <c r="V735" s="1"/>
      <c r="W735" s="1"/>
      <c r="X735" s="1"/>
      <c r="Y735" s="1"/>
    </row>
    <row r="736" spans="1:25">
      <c r="A736" s="9"/>
      <c r="B736" s="8"/>
      <c r="C736" s="114"/>
      <c r="D736" s="3"/>
      <c r="E736" s="3"/>
      <c r="F736" s="1"/>
      <c r="G736" s="1"/>
      <c r="H736" s="1"/>
      <c r="I736" s="1"/>
      <c r="J736" s="1"/>
      <c r="K736" s="1"/>
      <c r="L736" s="1"/>
      <c r="M736" s="1"/>
      <c r="N736" s="1"/>
      <c r="O736" s="1"/>
      <c r="P736" s="1"/>
      <c r="Q736" s="1"/>
      <c r="R736" s="1"/>
      <c r="S736" s="1"/>
      <c r="T736" s="1"/>
      <c r="U736" s="1"/>
      <c r="V736" s="1"/>
      <c r="W736" s="1"/>
      <c r="X736" s="1"/>
      <c r="Y736" s="1"/>
    </row>
    <row r="737" spans="1:25">
      <c r="A737" s="9"/>
      <c r="B737" s="8"/>
      <c r="C737" s="114"/>
      <c r="D737" s="3"/>
      <c r="E737" s="3"/>
      <c r="F737" s="1"/>
      <c r="G737" s="1"/>
      <c r="H737" s="1"/>
      <c r="I737" s="1"/>
      <c r="J737" s="1"/>
      <c r="K737" s="1"/>
      <c r="L737" s="1"/>
      <c r="M737" s="1"/>
      <c r="N737" s="1"/>
      <c r="O737" s="1"/>
      <c r="P737" s="1"/>
      <c r="Q737" s="1"/>
      <c r="R737" s="1"/>
      <c r="S737" s="1"/>
      <c r="T737" s="1"/>
      <c r="U737" s="1"/>
      <c r="V737" s="1"/>
      <c r="W737" s="1"/>
      <c r="X737" s="1"/>
      <c r="Y737" s="1"/>
    </row>
    <row r="738" spans="1:25">
      <c r="A738" s="9"/>
      <c r="B738" s="8"/>
      <c r="C738" s="114"/>
      <c r="D738" s="3"/>
      <c r="E738" s="3"/>
      <c r="F738" s="1"/>
      <c r="G738" s="1"/>
      <c r="H738" s="1"/>
      <c r="I738" s="1"/>
      <c r="J738" s="1"/>
      <c r="K738" s="1"/>
      <c r="L738" s="1"/>
      <c r="M738" s="1"/>
      <c r="N738" s="1"/>
      <c r="O738" s="1"/>
      <c r="P738" s="1"/>
      <c r="Q738" s="1"/>
      <c r="R738" s="1"/>
      <c r="S738" s="1"/>
      <c r="T738" s="1"/>
      <c r="U738" s="1"/>
      <c r="V738" s="1"/>
      <c r="W738" s="1"/>
      <c r="X738" s="1"/>
      <c r="Y738" s="1"/>
    </row>
    <row r="739" spans="1:25">
      <c r="A739" s="9"/>
      <c r="B739" s="8"/>
      <c r="C739" s="114"/>
      <c r="D739" s="3"/>
      <c r="E739" s="3"/>
      <c r="F739" s="1"/>
      <c r="G739" s="1"/>
      <c r="H739" s="1"/>
      <c r="I739" s="1"/>
      <c r="J739" s="1"/>
      <c r="K739" s="1"/>
      <c r="L739" s="1"/>
      <c r="M739" s="1"/>
      <c r="N739" s="1"/>
      <c r="O739" s="1"/>
      <c r="P739" s="1"/>
      <c r="Q739" s="1"/>
      <c r="R739" s="1"/>
      <c r="S739" s="1"/>
      <c r="T739" s="1"/>
      <c r="U739" s="1"/>
      <c r="V739" s="1"/>
      <c r="W739" s="1"/>
      <c r="X739" s="1"/>
      <c r="Y739" s="1"/>
    </row>
    <row r="740" spans="1:25">
      <c r="A740" s="9"/>
      <c r="B740" s="8"/>
      <c r="C740" s="114"/>
      <c r="D740" s="3"/>
      <c r="E740" s="3"/>
      <c r="F740" s="1"/>
      <c r="G740" s="1"/>
      <c r="H740" s="1"/>
      <c r="I740" s="1"/>
      <c r="J740" s="1"/>
      <c r="K740" s="1"/>
      <c r="L740" s="1"/>
      <c r="M740" s="1"/>
      <c r="N740" s="1"/>
      <c r="O740" s="1"/>
      <c r="P740" s="1"/>
      <c r="Q740" s="1"/>
      <c r="R740" s="1"/>
      <c r="S740" s="1"/>
      <c r="T740" s="1"/>
      <c r="U740" s="1"/>
      <c r="V740" s="1"/>
      <c r="W740" s="1"/>
      <c r="X740" s="1"/>
      <c r="Y740" s="1"/>
    </row>
    <row r="741" spans="1:25">
      <c r="A741" s="9"/>
      <c r="B741" s="8"/>
      <c r="C741" s="114"/>
      <c r="D741" s="3"/>
      <c r="E741" s="3"/>
      <c r="F741" s="1"/>
      <c r="G741" s="1"/>
      <c r="H741" s="1"/>
      <c r="I741" s="1"/>
      <c r="J741" s="1"/>
      <c r="K741" s="1"/>
      <c r="L741" s="1"/>
      <c r="M741" s="1"/>
      <c r="N741" s="1"/>
      <c r="O741" s="1"/>
      <c r="P741" s="1"/>
      <c r="Q741" s="1"/>
      <c r="R741" s="1"/>
      <c r="S741" s="1"/>
      <c r="T741" s="1"/>
      <c r="U741" s="1"/>
      <c r="V741" s="1"/>
      <c r="W741" s="1"/>
      <c r="X741" s="1"/>
      <c r="Y741" s="1"/>
    </row>
    <row r="742" spans="1:25">
      <c r="A742" s="9"/>
      <c r="B742" s="8"/>
      <c r="C742" s="114"/>
      <c r="D742" s="3"/>
      <c r="E742" s="3"/>
      <c r="F742" s="1"/>
      <c r="G742" s="1"/>
      <c r="H742" s="1"/>
      <c r="I742" s="1"/>
      <c r="J742" s="1"/>
      <c r="K742" s="1"/>
      <c r="L742" s="1"/>
      <c r="M742" s="1"/>
      <c r="N742" s="1"/>
      <c r="O742" s="1"/>
      <c r="P742" s="1"/>
      <c r="Q742" s="1"/>
      <c r="R742" s="1"/>
      <c r="S742" s="1"/>
      <c r="T742" s="1"/>
      <c r="U742" s="1"/>
      <c r="V742" s="1"/>
      <c r="W742" s="1"/>
      <c r="X742" s="1"/>
      <c r="Y742" s="1"/>
    </row>
    <row r="743" spans="1:25">
      <c r="A743" s="9"/>
      <c r="B743" s="8"/>
      <c r="C743" s="114"/>
      <c r="D743" s="3"/>
      <c r="E743" s="3"/>
      <c r="F743" s="1"/>
      <c r="G743" s="1"/>
      <c r="H743" s="1"/>
      <c r="I743" s="1"/>
      <c r="J743" s="1"/>
      <c r="K743" s="1"/>
      <c r="L743" s="1"/>
      <c r="M743" s="1"/>
      <c r="N743" s="1"/>
      <c r="O743" s="1"/>
      <c r="P743" s="1"/>
      <c r="Q743" s="1"/>
      <c r="R743" s="1"/>
      <c r="S743" s="1"/>
      <c r="T743" s="1"/>
      <c r="U743" s="1"/>
      <c r="V743" s="1"/>
      <c r="W743" s="1"/>
      <c r="X743" s="1"/>
      <c r="Y743" s="1"/>
    </row>
    <row r="744" spans="1:25">
      <c r="A744" s="9"/>
      <c r="B744" s="8"/>
      <c r="C744" s="114"/>
      <c r="D744" s="3"/>
      <c r="E744" s="3"/>
      <c r="F744" s="1"/>
      <c r="G744" s="1"/>
      <c r="H744" s="1"/>
      <c r="I744" s="1"/>
      <c r="J744" s="1"/>
      <c r="K744" s="1"/>
      <c r="L744" s="1"/>
      <c r="M744" s="1"/>
      <c r="N744" s="1"/>
      <c r="O744" s="1"/>
      <c r="P744" s="1"/>
      <c r="Q744" s="1"/>
      <c r="R744" s="1"/>
      <c r="S744" s="1"/>
      <c r="T744" s="1"/>
      <c r="U744" s="1"/>
      <c r="V744" s="1"/>
      <c r="W744" s="1"/>
      <c r="X744" s="1"/>
      <c r="Y744" s="1"/>
    </row>
    <row r="745" spans="1:25">
      <c r="A745" s="9"/>
      <c r="B745" s="8"/>
      <c r="C745" s="114"/>
      <c r="D745" s="3"/>
      <c r="E745" s="3"/>
      <c r="F745" s="1"/>
      <c r="G745" s="1"/>
      <c r="H745" s="1"/>
      <c r="I745" s="1"/>
      <c r="J745" s="1"/>
      <c r="K745" s="1"/>
      <c r="L745" s="1"/>
      <c r="M745" s="1"/>
      <c r="N745" s="1"/>
      <c r="O745" s="1"/>
      <c r="P745" s="1"/>
      <c r="Q745" s="1"/>
      <c r="R745" s="1"/>
      <c r="S745" s="1"/>
      <c r="T745" s="1"/>
      <c r="U745" s="1"/>
      <c r="V745" s="1"/>
      <c r="W745" s="1"/>
      <c r="X745" s="1"/>
      <c r="Y745" s="1"/>
    </row>
    <row r="746" spans="1:25">
      <c r="A746" s="9"/>
      <c r="B746" s="8"/>
      <c r="C746" s="114"/>
      <c r="D746" s="3"/>
      <c r="E746" s="3"/>
      <c r="F746" s="1"/>
      <c r="G746" s="1"/>
      <c r="H746" s="1"/>
      <c r="I746" s="1"/>
      <c r="J746" s="1"/>
      <c r="K746" s="1"/>
      <c r="L746" s="1"/>
      <c r="M746" s="1"/>
      <c r="N746" s="1"/>
      <c r="O746" s="1"/>
      <c r="P746" s="1"/>
      <c r="Q746" s="1"/>
      <c r="R746" s="1"/>
      <c r="S746" s="1"/>
      <c r="T746" s="1"/>
      <c r="U746" s="1"/>
      <c r="V746" s="1"/>
      <c r="W746" s="1"/>
      <c r="X746" s="1"/>
      <c r="Y746" s="1"/>
    </row>
    <row r="747" spans="1:25">
      <c r="A747" s="9"/>
      <c r="B747" s="8"/>
      <c r="C747" s="114"/>
      <c r="D747" s="3"/>
      <c r="E747" s="3"/>
      <c r="F747" s="1"/>
      <c r="G747" s="1"/>
      <c r="H747" s="1"/>
      <c r="I747" s="1"/>
      <c r="J747" s="1"/>
      <c r="K747" s="1"/>
      <c r="L747" s="1"/>
      <c r="M747" s="1"/>
      <c r="N747" s="1"/>
      <c r="O747" s="1"/>
      <c r="P747" s="1"/>
      <c r="Q747" s="1"/>
      <c r="R747" s="1"/>
      <c r="S747" s="1"/>
      <c r="T747" s="1"/>
      <c r="U747" s="1"/>
      <c r="V747" s="1"/>
      <c r="W747" s="1"/>
      <c r="X747" s="1"/>
      <c r="Y747" s="1"/>
    </row>
    <row r="748" spans="1:25">
      <c r="A748" s="9"/>
      <c r="B748" s="8"/>
      <c r="C748" s="114"/>
      <c r="D748" s="3"/>
      <c r="E748" s="3"/>
      <c r="F748" s="1"/>
      <c r="G748" s="1"/>
      <c r="H748" s="1"/>
      <c r="I748" s="1"/>
      <c r="J748" s="1"/>
      <c r="K748" s="1"/>
      <c r="L748" s="1"/>
      <c r="M748" s="1"/>
      <c r="N748" s="1"/>
      <c r="O748" s="1"/>
      <c r="P748" s="1"/>
      <c r="Q748" s="1"/>
      <c r="R748" s="1"/>
      <c r="S748" s="1"/>
      <c r="T748" s="1"/>
      <c r="U748" s="1"/>
      <c r="V748" s="1"/>
      <c r="W748" s="1"/>
      <c r="X748" s="1"/>
      <c r="Y748" s="1"/>
    </row>
    <row r="749" spans="1:25">
      <c r="A749" s="9"/>
      <c r="B749" s="8"/>
      <c r="C749" s="114"/>
      <c r="D749" s="3"/>
      <c r="E749" s="3"/>
      <c r="F749" s="1"/>
      <c r="G749" s="1"/>
      <c r="H749" s="1"/>
      <c r="I749" s="1"/>
      <c r="J749" s="1"/>
      <c r="K749" s="1"/>
      <c r="L749" s="1"/>
      <c r="M749" s="1"/>
      <c r="N749" s="1"/>
      <c r="O749" s="1"/>
      <c r="P749" s="1"/>
      <c r="Q749" s="1"/>
      <c r="R749" s="1"/>
      <c r="S749" s="1"/>
      <c r="T749" s="1"/>
      <c r="U749" s="1"/>
      <c r="V749" s="1"/>
      <c r="W749" s="1"/>
      <c r="X749" s="1"/>
      <c r="Y749" s="1"/>
    </row>
    <row r="750" spans="1:25">
      <c r="A750" s="9"/>
      <c r="B750" s="8"/>
      <c r="C750" s="114"/>
      <c r="D750" s="3"/>
      <c r="E750" s="3"/>
      <c r="F750" s="1"/>
      <c r="G750" s="1"/>
      <c r="H750" s="1"/>
      <c r="I750" s="1"/>
      <c r="J750" s="1"/>
      <c r="K750" s="1"/>
      <c r="L750" s="1"/>
      <c r="M750" s="1"/>
      <c r="N750" s="1"/>
      <c r="O750" s="1"/>
      <c r="P750" s="1"/>
      <c r="Q750" s="1"/>
      <c r="R750" s="1"/>
      <c r="S750" s="1"/>
      <c r="T750" s="1"/>
      <c r="U750" s="1"/>
      <c r="V750" s="1"/>
      <c r="W750" s="1"/>
      <c r="X750" s="1"/>
      <c r="Y750" s="1"/>
    </row>
    <row r="751" spans="1:25">
      <c r="A751" s="9"/>
      <c r="B751" s="8"/>
      <c r="C751" s="114"/>
      <c r="D751" s="3"/>
      <c r="E751" s="3"/>
      <c r="F751" s="1"/>
      <c r="G751" s="1"/>
      <c r="H751" s="1"/>
      <c r="I751" s="1"/>
      <c r="J751" s="1"/>
      <c r="K751" s="1"/>
      <c r="L751" s="1"/>
      <c r="M751" s="1"/>
      <c r="N751" s="1"/>
      <c r="O751" s="1"/>
      <c r="P751" s="1"/>
      <c r="Q751" s="1"/>
      <c r="R751" s="1"/>
      <c r="S751" s="1"/>
      <c r="T751" s="1"/>
      <c r="U751" s="1"/>
      <c r="V751" s="1"/>
      <c r="W751" s="1"/>
      <c r="X751" s="1"/>
      <c r="Y751" s="1"/>
    </row>
    <row r="752" spans="1:25">
      <c r="A752" s="9"/>
      <c r="B752" s="8"/>
      <c r="C752" s="114"/>
      <c r="D752" s="3"/>
      <c r="E752" s="3"/>
      <c r="F752" s="1"/>
      <c r="G752" s="1"/>
      <c r="H752" s="1"/>
      <c r="I752" s="1"/>
      <c r="J752" s="1"/>
      <c r="K752" s="1"/>
      <c r="L752" s="1"/>
      <c r="M752" s="1"/>
      <c r="N752" s="1"/>
      <c r="O752" s="1"/>
      <c r="P752" s="1"/>
      <c r="Q752" s="1"/>
      <c r="R752" s="1"/>
      <c r="S752" s="1"/>
      <c r="T752" s="1"/>
      <c r="U752" s="1"/>
      <c r="V752" s="1"/>
      <c r="W752" s="1"/>
      <c r="X752" s="1"/>
      <c r="Y752" s="1"/>
    </row>
    <row r="753" spans="1:25">
      <c r="A753" s="9"/>
      <c r="B753" s="8"/>
      <c r="C753" s="114"/>
      <c r="D753" s="3"/>
      <c r="E753" s="3"/>
      <c r="F753" s="1"/>
      <c r="G753" s="1"/>
      <c r="H753" s="1"/>
      <c r="I753" s="1"/>
      <c r="J753" s="1"/>
      <c r="K753" s="1"/>
      <c r="L753" s="1"/>
      <c r="M753" s="1"/>
      <c r="N753" s="1"/>
      <c r="O753" s="1"/>
      <c r="P753" s="1"/>
      <c r="Q753" s="1"/>
      <c r="R753" s="1"/>
      <c r="S753" s="1"/>
      <c r="T753" s="1"/>
      <c r="U753" s="1"/>
      <c r="V753" s="1"/>
      <c r="W753" s="1"/>
      <c r="X753" s="1"/>
      <c r="Y753" s="1"/>
    </row>
    <row r="754" spans="1:25">
      <c r="A754" s="9"/>
      <c r="B754" s="8"/>
      <c r="C754" s="114"/>
      <c r="D754" s="3"/>
      <c r="E754" s="3"/>
      <c r="F754" s="1"/>
      <c r="G754" s="1"/>
      <c r="H754" s="1"/>
      <c r="I754" s="1"/>
      <c r="J754" s="1"/>
      <c r="K754" s="1"/>
      <c r="L754" s="1"/>
      <c r="M754" s="1"/>
      <c r="N754" s="1"/>
      <c r="O754" s="1"/>
      <c r="P754" s="1"/>
      <c r="Q754" s="1"/>
      <c r="R754" s="1"/>
      <c r="S754" s="1"/>
      <c r="T754" s="1"/>
      <c r="U754" s="1"/>
      <c r="V754" s="1"/>
      <c r="W754" s="1"/>
      <c r="X754" s="1"/>
      <c r="Y754" s="1"/>
    </row>
    <row r="755" spans="1:25">
      <c r="A755" s="9"/>
      <c r="B755" s="8"/>
      <c r="C755" s="114"/>
      <c r="D755" s="3"/>
      <c r="E755" s="3"/>
      <c r="F755" s="1"/>
      <c r="G755" s="1"/>
      <c r="H755" s="1"/>
      <c r="I755" s="1"/>
      <c r="J755" s="1"/>
      <c r="K755" s="1"/>
      <c r="L755" s="1"/>
      <c r="M755" s="1"/>
      <c r="N755" s="1"/>
      <c r="O755" s="1"/>
      <c r="P755" s="1"/>
      <c r="Q755" s="1"/>
      <c r="R755" s="1"/>
      <c r="S755" s="1"/>
      <c r="T755" s="1"/>
      <c r="U755" s="1"/>
      <c r="V755" s="1"/>
      <c r="W755" s="1"/>
      <c r="X755" s="1"/>
      <c r="Y755" s="1"/>
    </row>
    <row r="756" spans="1:25">
      <c r="A756" s="9"/>
      <c r="B756" s="8"/>
      <c r="C756" s="114"/>
      <c r="D756" s="3"/>
      <c r="E756" s="3"/>
      <c r="F756" s="1"/>
      <c r="G756" s="1"/>
      <c r="H756" s="1"/>
      <c r="I756" s="1"/>
      <c r="J756" s="1"/>
      <c r="K756" s="1"/>
      <c r="L756" s="1"/>
      <c r="M756" s="1"/>
      <c r="N756" s="1"/>
      <c r="O756" s="1"/>
      <c r="P756" s="1"/>
      <c r="Q756" s="1"/>
      <c r="R756" s="1"/>
      <c r="S756" s="1"/>
      <c r="T756" s="1"/>
      <c r="U756" s="1"/>
      <c r="V756" s="1"/>
      <c r="W756" s="1"/>
      <c r="X756" s="1"/>
      <c r="Y756" s="1"/>
    </row>
    <row r="757" spans="1:25">
      <c r="A757" s="9"/>
      <c r="B757" s="8"/>
      <c r="C757" s="114"/>
      <c r="D757" s="3"/>
      <c r="E757" s="3"/>
      <c r="F757" s="1"/>
      <c r="G757" s="1"/>
      <c r="H757" s="1"/>
      <c r="I757" s="1"/>
      <c r="J757" s="1"/>
      <c r="K757" s="1"/>
      <c r="L757" s="1"/>
      <c r="M757" s="1"/>
      <c r="N757" s="1"/>
      <c r="O757" s="1"/>
      <c r="P757" s="1"/>
      <c r="Q757" s="1"/>
      <c r="R757" s="1"/>
      <c r="S757" s="1"/>
      <c r="T757" s="1"/>
      <c r="U757" s="1"/>
      <c r="V757" s="1"/>
      <c r="W757" s="1"/>
      <c r="X757" s="1"/>
      <c r="Y757" s="1"/>
    </row>
    <row r="758" spans="1:25">
      <c r="A758" s="9"/>
      <c r="B758" s="8"/>
      <c r="C758" s="114"/>
      <c r="D758" s="3"/>
      <c r="E758" s="3"/>
      <c r="F758" s="1"/>
      <c r="G758" s="1"/>
      <c r="H758" s="1"/>
      <c r="I758" s="1"/>
      <c r="J758" s="1"/>
      <c r="K758" s="1"/>
      <c r="L758" s="1"/>
      <c r="M758" s="1"/>
      <c r="N758" s="1"/>
      <c r="O758" s="1"/>
      <c r="P758" s="1"/>
      <c r="Q758" s="1"/>
      <c r="R758" s="1"/>
      <c r="S758" s="1"/>
      <c r="T758" s="1"/>
      <c r="U758" s="1"/>
      <c r="V758" s="1"/>
      <c r="W758" s="1"/>
      <c r="X758" s="1"/>
      <c r="Y758" s="1"/>
    </row>
    <row r="759" spans="1:25">
      <c r="A759" s="9"/>
      <c r="B759" s="8"/>
      <c r="C759" s="114"/>
      <c r="D759" s="3"/>
      <c r="E759" s="3"/>
      <c r="F759" s="1"/>
      <c r="G759" s="1"/>
      <c r="H759" s="1"/>
      <c r="I759" s="1"/>
      <c r="J759" s="1"/>
      <c r="K759" s="1"/>
      <c r="L759" s="1"/>
      <c r="M759" s="1"/>
      <c r="N759" s="1"/>
      <c r="O759" s="1"/>
      <c r="P759" s="1"/>
      <c r="Q759" s="1"/>
      <c r="R759" s="1"/>
      <c r="S759" s="1"/>
      <c r="T759" s="1"/>
      <c r="U759" s="1"/>
      <c r="V759" s="1"/>
      <c r="W759" s="1"/>
      <c r="X759" s="1"/>
      <c r="Y759" s="1"/>
    </row>
    <row r="760" spans="1:25">
      <c r="A760" s="9"/>
      <c r="B760" s="8"/>
      <c r="C760" s="114"/>
      <c r="D760" s="3"/>
      <c r="E760" s="3"/>
      <c r="F760" s="1"/>
      <c r="G760" s="1"/>
      <c r="H760" s="1"/>
      <c r="I760" s="1"/>
      <c r="J760" s="1"/>
      <c r="K760" s="1"/>
      <c r="L760" s="1"/>
      <c r="M760" s="1"/>
      <c r="N760" s="1"/>
      <c r="O760" s="1"/>
      <c r="P760" s="1"/>
      <c r="Q760" s="1"/>
      <c r="R760" s="1"/>
      <c r="S760" s="1"/>
      <c r="T760" s="1"/>
      <c r="U760" s="1"/>
      <c r="V760" s="1"/>
      <c r="W760" s="1"/>
      <c r="X760" s="1"/>
      <c r="Y760" s="1"/>
    </row>
    <row r="761" spans="1:25">
      <c r="A761" s="9"/>
      <c r="B761" s="8"/>
      <c r="C761" s="114"/>
      <c r="D761" s="3"/>
      <c r="E761" s="3"/>
      <c r="F761" s="1"/>
      <c r="G761" s="1"/>
      <c r="H761" s="1"/>
      <c r="I761" s="1"/>
      <c r="J761" s="1"/>
      <c r="K761" s="1"/>
      <c r="L761" s="1"/>
      <c r="M761" s="1"/>
      <c r="N761" s="1"/>
      <c r="O761" s="1"/>
      <c r="P761" s="1"/>
      <c r="Q761" s="1"/>
      <c r="R761" s="1"/>
      <c r="S761" s="1"/>
      <c r="T761" s="1"/>
      <c r="U761" s="1"/>
      <c r="V761" s="1"/>
      <c r="W761" s="1"/>
      <c r="X761" s="1"/>
      <c r="Y761" s="1"/>
    </row>
    <row r="762" spans="1:25">
      <c r="A762" s="9"/>
      <c r="B762" s="8"/>
      <c r="C762" s="114"/>
      <c r="D762" s="3"/>
      <c r="E762" s="3"/>
      <c r="F762" s="1"/>
      <c r="G762" s="1"/>
      <c r="H762" s="1"/>
      <c r="I762" s="1"/>
      <c r="J762" s="1"/>
      <c r="K762" s="1"/>
      <c r="L762" s="1"/>
      <c r="M762" s="1"/>
      <c r="N762" s="1"/>
      <c r="O762" s="1"/>
      <c r="P762" s="1"/>
      <c r="Q762" s="1"/>
      <c r="R762" s="1"/>
      <c r="S762" s="1"/>
      <c r="T762" s="1"/>
      <c r="U762" s="1"/>
      <c r="V762" s="1"/>
      <c r="W762" s="1"/>
      <c r="X762" s="1"/>
      <c r="Y762" s="1"/>
    </row>
    <row r="763" spans="1:25">
      <c r="A763" s="9"/>
      <c r="B763" s="8"/>
      <c r="C763" s="114"/>
      <c r="D763" s="3"/>
      <c r="E763" s="3"/>
      <c r="F763" s="1"/>
      <c r="G763" s="1"/>
      <c r="H763" s="1"/>
      <c r="I763" s="1"/>
      <c r="J763" s="1"/>
      <c r="K763" s="1"/>
      <c r="L763" s="1"/>
      <c r="M763" s="1"/>
      <c r="N763" s="1"/>
      <c r="O763" s="1"/>
      <c r="P763" s="1"/>
      <c r="Q763" s="1"/>
      <c r="R763" s="1"/>
      <c r="S763" s="1"/>
      <c r="T763" s="1"/>
      <c r="U763" s="1"/>
      <c r="V763" s="1"/>
      <c r="W763" s="1"/>
      <c r="X763" s="1"/>
      <c r="Y763" s="1"/>
    </row>
    <row r="764" spans="1:25">
      <c r="A764" s="9"/>
      <c r="B764" s="8"/>
      <c r="C764" s="114"/>
      <c r="D764" s="3"/>
      <c r="E764" s="3"/>
      <c r="F764" s="1"/>
      <c r="G764" s="1"/>
      <c r="H764" s="1"/>
      <c r="I764" s="1"/>
      <c r="J764" s="1"/>
      <c r="K764" s="1"/>
      <c r="L764" s="1"/>
      <c r="M764" s="1"/>
      <c r="N764" s="1"/>
      <c r="O764" s="1"/>
      <c r="P764" s="1"/>
      <c r="Q764" s="1"/>
      <c r="R764" s="1"/>
      <c r="S764" s="1"/>
      <c r="T764" s="1"/>
      <c r="U764" s="1"/>
      <c r="V764" s="1"/>
      <c r="W764" s="1"/>
      <c r="X764" s="1"/>
      <c r="Y764" s="1"/>
    </row>
    <row r="765" spans="1:25">
      <c r="A765" s="9"/>
      <c r="B765" s="8"/>
      <c r="C765" s="114"/>
      <c r="D765" s="3"/>
      <c r="E765" s="3"/>
      <c r="F765" s="1"/>
      <c r="G765" s="1"/>
      <c r="H765" s="1"/>
      <c r="I765" s="1"/>
      <c r="J765" s="1"/>
      <c r="K765" s="1"/>
      <c r="L765" s="1"/>
      <c r="M765" s="1"/>
      <c r="N765" s="1"/>
      <c r="O765" s="1"/>
      <c r="P765" s="1"/>
      <c r="Q765" s="1"/>
      <c r="R765" s="1"/>
      <c r="S765" s="1"/>
      <c r="T765" s="1"/>
      <c r="U765" s="1"/>
      <c r="V765" s="1"/>
      <c r="W765" s="1"/>
      <c r="X765" s="1"/>
      <c r="Y765" s="1"/>
    </row>
    <row r="766" spans="1:25">
      <c r="A766" s="9"/>
      <c r="B766" s="8"/>
      <c r="C766" s="114"/>
      <c r="D766" s="3"/>
      <c r="E766" s="3"/>
      <c r="F766" s="1"/>
      <c r="G766" s="1"/>
      <c r="H766" s="1"/>
      <c r="I766" s="1"/>
      <c r="J766" s="1"/>
      <c r="K766" s="1"/>
      <c r="L766" s="1"/>
      <c r="M766" s="1"/>
      <c r="N766" s="1"/>
      <c r="O766" s="1"/>
      <c r="P766" s="1"/>
      <c r="Q766" s="1"/>
      <c r="R766" s="1"/>
      <c r="S766" s="1"/>
      <c r="T766" s="1"/>
      <c r="U766" s="1"/>
      <c r="V766" s="1"/>
      <c r="W766" s="1"/>
      <c r="X766" s="1"/>
      <c r="Y766" s="1"/>
    </row>
    <row r="767" spans="1:25">
      <c r="A767" s="9"/>
      <c r="B767" s="8"/>
      <c r="C767" s="114"/>
      <c r="D767" s="3"/>
      <c r="E767" s="3"/>
      <c r="F767" s="1"/>
      <c r="G767" s="1"/>
      <c r="H767" s="1"/>
      <c r="I767" s="1"/>
      <c r="J767" s="1"/>
      <c r="K767" s="1"/>
      <c r="L767" s="1"/>
      <c r="M767" s="1"/>
      <c r="N767" s="1"/>
      <c r="O767" s="1"/>
      <c r="P767" s="1"/>
      <c r="Q767" s="1"/>
      <c r="R767" s="1"/>
      <c r="S767" s="1"/>
      <c r="T767" s="1"/>
      <c r="U767" s="1"/>
      <c r="V767" s="1"/>
      <c r="W767" s="1"/>
      <c r="X767" s="1"/>
      <c r="Y767" s="1"/>
    </row>
    <row r="768" spans="1:25">
      <c r="A768" s="9"/>
      <c r="B768" s="8"/>
      <c r="C768" s="114"/>
      <c r="D768" s="3"/>
      <c r="E768" s="3"/>
      <c r="F768" s="1"/>
      <c r="G768" s="1"/>
      <c r="H768" s="1"/>
      <c r="I768" s="1"/>
      <c r="J768" s="1"/>
      <c r="K768" s="1"/>
      <c r="L768" s="1"/>
      <c r="M768" s="1"/>
      <c r="N768" s="1"/>
      <c r="O768" s="1"/>
      <c r="P768" s="1"/>
      <c r="Q768" s="1"/>
      <c r="R768" s="1"/>
      <c r="S768" s="1"/>
      <c r="T768" s="1"/>
      <c r="U768" s="1"/>
      <c r="V768" s="1"/>
      <c r="W768" s="1"/>
      <c r="X768" s="1"/>
      <c r="Y768" s="1"/>
    </row>
    <row r="769" spans="1:25">
      <c r="A769" s="9"/>
      <c r="B769" s="8"/>
      <c r="C769" s="114"/>
      <c r="D769" s="3"/>
      <c r="E769" s="3"/>
      <c r="F769" s="1"/>
      <c r="G769" s="1"/>
      <c r="H769" s="1"/>
      <c r="I769" s="1"/>
      <c r="J769" s="1"/>
      <c r="K769" s="1"/>
      <c r="L769" s="1"/>
      <c r="M769" s="1"/>
      <c r="N769" s="1"/>
      <c r="O769" s="1"/>
      <c r="P769" s="1"/>
      <c r="Q769" s="1"/>
      <c r="R769" s="1"/>
      <c r="S769" s="1"/>
      <c r="T769" s="1"/>
      <c r="U769" s="1"/>
      <c r="V769" s="1"/>
      <c r="W769" s="1"/>
      <c r="X769" s="1"/>
      <c r="Y769" s="1"/>
    </row>
    <row r="770" spans="1:25">
      <c r="A770" s="9"/>
      <c r="B770" s="8"/>
      <c r="C770" s="114"/>
      <c r="D770" s="3"/>
      <c r="E770" s="3"/>
      <c r="F770" s="1"/>
      <c r="G770" s="1"/>
      <c r="H770" s="1"/>
      <c r="I770" s="1"/>
      <c r="J770" s="1"/>
      <c r="K770" s="1"/>
      <c r="L770" s="1"/>
      <c r="M770" s="1"/>
      <c r="N770" s="1"/>
      <c r="O770" s="1"/>
      <c r="P770" s="1"/>
      <c r="Q770" s="1"/>
      <c r="R770" s="1"/>
      <c r="S770" s="1"/>
      <c r="T770" s="1"/>
      <c r="U770" s="1"/>
      <c r="V770" s="1"/>
      <c r="W770" s="1"/>
      <c r="X770" s="1"/>
      <c r="Y770" s="1"/>
    </row>
    <row r="771" spans="1:25">
      <c r="A771" s="9"/>
      <c r="B771" s="8"/>
      <c r="C771" s="114"/>
      <c r="D771" s="3"/>
      <c r="E771" s="3"/>
      <c r="F771" s="1"/>
      <c r="G771" s="1"/>
      <c r="H771" s="1"/>
      <c r="I771" s="1"/>
      <c r="J771" s="1"/>
      <c r="K771" s="1"/>
      <c r="L771" s="1"/>
      <c r="M771" s="1"/>
      <c r="N771" s="1"/>
      <c r="O771" s="1"/>
      <c r="P771" s="1"/>
      <c r="Q771" s="1"/>
      <c r="R771" s="1"/>
      <c r="S771" s="1"/>
      <c r="T771" s="1"/>
      <c r="U771" s="1"/>
      <c r="V771" s="1"/>
      <c r="W771" s="1"/>
      <c r="X771" s="1"/>
      <c r="Y771" s="1"/>
    </row>
    <row r="772" spans="1:25">
      <c r="A772" s="9"/>
      <c r="B772" s="8"/>
      <c r="C772" s="114"/>
      <c r="D772" s="3"/>
      <c r="E772" s="3"/>
      <c r="F772" s="1"/>
      <c r="G772" s="1"/>
      <c r="H772" s="1"/>
      <c r="I772" s="1"/>
      <c r="J772" s="1"/>
      <c r="K772" s="1"/>
      <c r="L772" s="1"/>
      <c r="M772" s="1"/>
      <c r="N772" s="1"/>
      <c r="O772" s="1"/>
      <c r="P772" s="1"/>
      <c r="Q772" s="1"/>
      <c r="R772" s="1"/>
      <c r="S772" s="1"/>
      <c r="T772" s="1"/>
      <c r="U772" s="1"/>
      <c r="V772" s="1"/>
      <c r="W772" s="1"/>
      <c r="X772" s="1"/>
      <c r="Y772" s="1"/>
    </row>
    <row r="773" spans="1:25">
      <c r="A773" s="9"/>
      <c r="B773" s="8"/>
      <c r="C773" s="114"/>
      <c r="D773" s="3"/>
      <c r="E773" s="3"/>
      <c r="F773" s="1"/>
      <c r="G773" s="1"/>
      <c r="H773" s="1"/>
      <c r="I773" s="1"/>
      <c r="J773" s="1"/>
      <c r="K773" s="1"/>
      <c r="L773" s="1"/>
      <c r="M773" s="1"/>
      <c r="N773" s="1"/>
      <c r="O773" s="1"/>
      <c r="P773" s="1"/>
      <c r="Q773" s="1"/>
      <c r="R773" s="1"/>
      <c r="S773" s="1"/>
      <c r="T773" s="1"/>
      <c r="U773" s="1"/>
      <c r="V773" s="1"/>
      <c r="W773" s="1"/>
      <c r="X773" s="1"/>
      <c r="Y773" s="1"/>
    </row>
    <row r="774" spans="1:25">
      <c r="A774" s="9"/>
      <c r="B774" s="8"/>
      <c r="C774" s="114"/>
      <c r="D774" s="3"/>
      <c r="E774" s="3"/>
      <c r="F774" s="1"/>
      <c r="G774" s="1"/>
      <c r="H774" s="1"/>
      <c r="I774" s="1"/>
      <c r="J774" s="1"/>
      <c r="K774" s="1"/>
      <c r="L774" s="1"/>
      <c r="M774" s="1"/>
      <c r="N774" s="1"/>
      <c r="O774" s="1"/>
      <c r="P774" s="1"/>
      <c r="Q774" s="1"/>
      <c r="R774" s="1"/>
      <c r="S774" s="1"/>
      <c r="T774" s="1"/>
      <c r="U774" s="1"/>
      <c r="V774" s="1"/>
      <c r="W774" s="1"/>
      <c r="X774" s="1"/>
      <c r="Y774" s="1"/>
    </row>
    <row r="775" spans="1:25">
      <c r="A775" s="9"/>
      <c r="B775" s="8"/>
      <c r="C775" s="114"/>
      <c r="D775" s="3"/>
      <c r="E775" s="3"/>
      <c r="F775" s="1"/>
      <c r="G775" s="1"/>
      <c r="H775" s="1"/>
      <c r="I775" s="1"/>
      <c r="J775" s="1"/>
      <c r="K775" s="1"/>
      <c r="L775" s="1"/>
      <c r="M775" s="1"/>
      <c r="N775" s="1"/>
      <c r="O775" s="1"/>
      <c r="P775" s="1"/>
      <c r="Q775" s="1"/>
      <c r="R775" s="1"/>
      <c r="S775" s="1"/>
      <c r="T775" s="1"/>
      <c r="U775" s="1"/>
      <c r="V775" s="1"/>
      <c r="W775" s="1"/>
      <c r="X775" s="1"/>
      <c r="Y775" s="1"/>
    </row>
    <row r="776" spans="1:25">
      <c r="A776" s="9"/>
      <c r="B776" s="8"/>
      <c r="C776" s="114"/>
      <c r="D776" s="3"/>
      <c r="E776" s="3"/>
      <c r="F776" s="1"/>
      <c r="G776" s="1"/>
      <c r="H776" s="1"/>
      <c r="I776" s="1"/>
      <c r="J776" s="1"/>
      <c r="K776" s="1"/>
      <c r="L776" s="1"/>
      <c r="M776" s="1"/>
      <c r="N776" s="1"/>
      <c r="O776" s="1"/>
      <c r="P776" s="1"/>
      <c r="Q776" s="1"/>
      <c r="R776" s="1"/>
      <c r="S776" s="1"/>
      <c r="T776" s="1"/>
      <c r="U776" s="1"/>
      <c r="V776" s="1"/>
      <c r="W776" s="1"/>
      <c r="X776" s="1"/>
      <c r="Y776" s="1"/>
    </row>
    <row r="777" spans="1:25">
      <c r="A777" s="9"/>
      <c r="B777" s="8"/>
      <c r="C777" s="114"/>
      <c r="D777" s="3"/>
      <c r="E777" s="3"/>
      <c r="F777" s="1"/>
      <c r="G777" s="1"/>
      <c r="H777" s="1"/>
      <c r="I777" s="1"/>
      <c r="J777" s="1"/>
      <c r="K777" s="1"/>
      <c r="L777" s="1"/>
      <c r="M777" s="1"/>
      <c r="N777" s="1"/>
      <c r="O777" s="1"/>
      <c r="P777" s="1"/>
      <c r="Q777" s="1"/>
      <c r="R777" s="1"/>
      <c r="S777" s="1"/>
      <c r="T777" s="1"/>
      <c r="U777" s="1"/>
      <c r="V777" s="1"/>
      <c r="W777" s="1"/>
      <c r="X777" s="1"/>
      <c r="Y777" s="1"/>
    </row>
    <row r="778" spans="1:25">
      <c r="A778" s="9"/>
      <c r="B778" s="8"/>
      <c r="C778" s="114"/>
      <c r="D778" s="3"/>
      <c r="E778" s="3"/>
      <c r="F778" s="1"/>
      <c r="G778" s="1"/>
      <c r="H778" s="1"/>
      <c r="I778" s="1"/>
      <c r="J778" s="1"/>
      <c r="K778" s="1"/>
      <c r="L778" s="1"/>
      <c r="M778" s="1"/>
      <c r="N778" s="1"/>
      <c r="O778" s="1"/>
      <c r="P778" s="1"/>
      <c r="Q778" s="1"/>
      <c r="R778" s="1"/>
      <c r="S778" s="1"/>
      <c r="T778" s="1"/>
      <c r="U778" s="1"/>
      <c r="V778" s="1"/>
      <c r="W778" s="1"/>
      <c r="X778" s="1"/>
      <c r="Y778" s="1"/>
    </row>
    <row r="779" spans="1:25">
      <c r="A779" s="9"/>
      <c r="B779" s="8"/>
      <c r="C779" s="114"/>
      <c r="D779" s="3"/>
      <c r="E779" s="3"/>
      <c r="F779" s="1"/>
      <c r="G779" s="1"/>
      <c r="H779" s="1"/>
      <c r="I779" s="1"/>
      <c r="J779" s="1"/>
      <c r="K779" s="1"/>
      <c r="L779" s="1"/>
      <c r="M779" s="1"/>
      <c r="N779" s="1"/>
      <c r="O779" s="1"/>
      <c r="P779" s="1"/>
      <c r="Q779" s="1"/>
      <c r="R779" s="1"/>
      <c r="S779" s="1"/>
      <c r="T779" s="1"/>
      <c r="U779" s="1"/>
      <c r="V779" s="1"/>
      <c r="W779" s="1"/>
      <c r="X779" s="1"/>
      <c r="Y779" s="1"/>
    </row>
    <row r="780" spans="1:25">
      <c r="A780" s="9"/>
      <c r="B780" s="8"/>
      <c r="C780" s="114"/>
      <c r="D780" s="3"/>
      <c r="E780" s="3"/>
      <c r="F780" s="1"/>
      <c r="G780" s="1"/>
      <c r="H780" s="1"/>
      <c r="I780" s="1"/>
      <c r="J780" s="1"/>
      <c r="K780" s="1"/>
      <c r="L780" s="1"/>
      <c r="M780" s="1"/>
      <c r="N780" s="1"/>
      <c r="O780" s="1"/>
      <c r="P780" s="1"/>
      <c r="Q780" s="1"/>
      <c r="R780" s="1"/>
      <c r="S780" s="1"/>
      <c r="T780" s="1"/>
      <c r="U780" s="1"/>
      <c r="V780" s="1"/>
      <c r="W780" s="1"/>
      <c r="X780" s="1"/>
      <c r="Y780" s="1"/>
    </row>
    <row r="781" spans="1:25">
      <c r="A781" s="9"/>
      <c r="B781" s="8"/>
      <c r="C781" s="114"/>
      <c r="D781" s="3"/>
      <c r="E781" s="3"/>
      <c r="F781" s="1"/>
      <c r="G781" s="1"/>
      <c r="H781" s="1"/>
      <c r="I781" s="1"/>
      <c r="J781" s="1"/>
      <c r="K781" s="1"/>
      <c r="L781" s="1"/>
      <c r="M781" s="1"/>
      <c r="N781" s="1"/>
      <c r="O781" s="1"/>
      <c r="P781" s="1"/>
      <c r="Q781" s="1"/>
      <c r="R781" s="1"/>
      <c r="S781" s="1"/>
      <c r="T781" s="1"/>
      <c r="U781" s="1"/>
      <c r="V781" s="1"/>
      <c r="W781" s="1"/>
      <c r="X781" s="1"/>
      <c r="Y781" s="1"/>
    </row>
    <row r="782" spans="1:25">
      <c r="A782" s="9"/>
      <c r="B782" s="8"/>
      <c r="C782" s="114"/>
      <c r="D782" s="3"/>
      <c r="E782" s="3"/>
      <c r="F782" s="1"/>
      <c r="G782" s="1"/>
      <c r="H782" s="1"/>
      <c r="I782" s="1"/>
      <c r="J782" s="1"/>
      <c r="K782" s="1"/>
      <c r="L782" s="1"/>
      <c r="M782" s="1"/>
      <c r="N782" s="1"/>
      <c r="O782" s="1"/>
      <c r="P782" s="1"/>
      <c r="Q782" s="1"/>
      <c r="R782" s="1"/>
      <c r="S782" s="1"/>
      <c r="T782" s="1"/>
      <c r="U782" s="1"/>
      <c r="V782" s="1"/>
      <c r="W782" s="1"/>
      <c r="X782" s="1"/>
      <c r="Y782" s="1"/>
    </row>
    <row r="783" spans="1:25">
      <c r="A783" s="9"/>
      <c r="B783" s="8"/>
      <c r="C783" s="114"/>
      <c r="D783" s="3"/>
      <c r="E783" s="3"/>
      <c r="F783" s="1"/>
      <c r="G783" s="1"/>
      <c r="H783" s="1"/>
      <c r="I783" s="1"/>
      <c r="J783" s="1"/>
      <c r="K783" s="1"/>
      <c r="L783" s="1"/>
      <c r="M783" s="1"/>
      <c r="N783" s="1"/>
      <c r="O783" s="1"/>
      <c r="P783" s="1"/>
      <c r="Q783" s="1"/>
      <c r="R783" s="1"/>
      <c r="S783" s="1"/>
      <c r="T783" s="1"/>
      <c r="U783" s="1"/>
      <c r="V783" s="1"/>
      <c r="W783" s="1"/>
      <c r="X783" s="1"/>
      <c r="Y783" s="1"/>
    </row>
    <row r="784" spans="1:25">
      <c r="A784" s="9"/>
      <c r="B784" s="8"/>
      <c r="C784" s="114"/>
      <c r="D784" s="3"/>
      <c r="E784" s="3"/>
      <c r="F784" s="1"/>
      <c r="G784" s="1"/>
      <c r="H784" s="1"/>
      <c r="I784" s="1"/>
      <c r="J784" s="1"/>
      <c r="K784" s="1"/>
      <c r="L784" s="1"/>
      <c r="M784" s="1"/>
      <c r="N784" s="1"/>
      <c r="O784" s="1"/>
      <c r="P784" s="1"/>
      <c r="Q784" s="1"/>
      <c r="R784" s="1"/>
      <c r="S784" s="1"/>
      <c r="T784" s="1"/>
      <c r="U784" s="1"/>
      <c r="V784" s="1"/>
      <c r="W784" s="1"/>
      <c r="X784" s="1"/>
      <c r="Y784" s="1"/>
    </row>
    <row r="785" spans="1:25">
      <c r="A785" s="9"/>
      <c r="B785" s="8"/>
      <c r="C785" s="114"/>
      <c r="D785" s="3"/>
      <c r="E785" s="3"/>
      <c r="F785" s="1"/>
      <c r="G785" s="1"/>
      <c r="H785" s="1"/>
      <c r="I785" s="1"/>
      <c r="J785" s="1"/>
      <c r="K785" s="1"/>
      <c r="L785" s="1"/>
      <c r="M785" s="1"/>
      <c r="N785" s="1"/>
      <c r="O785" s="1"/>
      <c r="P785" s="1"/>
      <c r="Q785" s="1"/>
      <c r="R785" s="1"/>
      <c r="S785" s="1"/>
      <c r="T785" s="1"/>
      <c r="U785" s="1"/>
      <c r="V785" s="1"/>
      <c r="W785" s="1"/>
      <c r="X785" s="1"/>
      <c r="Y785" s="1"/>
    </row>
    <row r="786" spans="1:25">
      <c r="A786" s="9"/>
      <c r="B786" s="8"/>
      <c r="C786" s="114"/>
      <c r="D786" s="3"/>
      <c r="E786" s="3"/>
      <c r="F786" s="1"/>
      <c r="G786" s="1"/>
      <c r="H786" s="1"/>
      <c r="I786" s="1"/>
      <c r="J786" s="1"/>
      <c r="K786" s="1"/>
      <c r="L786" s="1"/>
      <c r="M786" s="1"/>
      <c r="N786" s="1"/>
      <c r="O786" s="1"/>
      <c r="P786" s="1"/>
      <c r="Q786" s="1"/>
      <c r="R786" s="1"/>
      <c r="S786" s="1"/>
      <c r="T786" s="1"/>
      <c r="U786" s="1"/>
      <c r="V786" s="1"/>
      <c r="W786" s="1"/>
      <c r="X786" s="1"/>
      <c r="Y786" s="1"/>
    </row>
    <row r="787" spans="1:25">
      <c r="A787" s="9"/>
      <c r="B787" s="8"/>
      <c r="C787" s="114"/>
      <c r="D787" s="3"/>
      <c r="E787" s="3"/>
      <c r="F787" s="1"/>
      <c r="G787" s="1"/>
      <c r="H787" s="1"/>
      <c r="I787" s="1"/>
      <c r="J787" s="1"/>
      <c r="K787" s="1"/>
      <c r="L787" s="1"/>
      <c r="M787" s="1"/>
      <c r="N787" s="1"/>
      <c r="O787" s="1"/>
      <c r="P787" s="1"/>
      <c r="Q787" s="1"/>
      <c r="R787" s="1"/>
      <c r="S787" s="1"/>
      <c r="T787" s="1"/>
      <c r="U787" s="1"/>
      <c r="V787" s="1"/>
      <c r="W787" s="1"/>
      <c r="X787" s="1"/>
      <c r="Y787" s="1"/>
    </row>
    <row r="788" spans="1:25">
      <c r="A788" s="9"/>
      <c r="B788" s="8"/>
      <c r="C788" s="114"/>
      <c r="D788" s="3"/>
      <c r="E788" s="3"/>
      <c r="F788" s="1"/>
      <c r="G788" s="1"/>
      <c r="H788" s="1"/>
      <c r="I788" s="1"/>
      <c r="J788" s="1"/>
      <c r="K788" s="1"/>
      <c r="L788" s="1"/>
      <c r="M788" s="1"/>
      <c r="N788" s="1"/>
      <c r="O788" s="1"/>
      <c r="P788" s="1"/>
      <c r="Q788" s="1"/>
      <c r="R788" s="1"/>
      <c r="S788" s="1"/>
      <c r="T788" s="1"/>
      <c r="U788" s="1"/>
      <c r="V788" s="1"/>
      <c r="W788" s="1"/>
      <c r="X788" s="1"/>
      <c r="Y788" s="1"/>
    </row>
    <row r="789" spans="1:25">
      <c r="A789" s="9"/>
      <c r="B789" s="8"/>
      <c r="C789" s="114"/>
      <c r="D789" s="3"/>
      <c r="E789" s="3"/>
      <c r="F789" s="1"/>
      <c r="G789" s="1"/>
      <c r="H789" s="1"/>
      <c r="I789" s="1"/>
      <c r="J789" s="1"/>
      <c r="K789" s="1"/>
      <c r="L789" s="1"/>
      <c r="M789" s="1"/>
      <c r="N789" s="1"/>
      <c r="O789" s="1"/>
      <c r="P789" s="1"/>
      <c r="Q789" s="1"/>
      <c r="R789" s="1"/>
      <c r="S789" s="1"/>
      <c r="T789" s="1"/>
      <c r="U789" s="1"/>
      <c r="V789" s="1"/>
      <c r="W789" s="1"/>
      <c r="X789" s="1"/>
      <c r="Y789" s="1"/>
    </row>
    <row r="790" spans="1:25">
      <c r="A790" s="9"/>
      <c r="B790" s="8"/>
      <c r="C790" s="114"/>
      <c r="D790" s="3"/>
      <c r="E790" s="3"/>
      <c r="F790" s="1"/>
      <c r="G790" s="1"/>
      <c r="H790" s="1"/>
      <c r="I790" s="1"/>
      <c r="J790" s="1"/>
      <c r="K790" s="1"/>
      <c r="L790" s="1"/>
      <c r="M790" s="1"/>
      <c r="N790" s="1"/>
      <c r="O790" s="1"/>
      <c r="P790" s="1"/>
      <c r="Q790" s="1"/>
      <c r="R790" s="1"/>
      <c r="S790" s="1"/>
      <c r="T790" s="1"/>
      <c r="U790" s="1"/>
      <c r="V790" s="1"/>
      <c r="W790" s="1"/>
      <c r="X790" s="1"/>
      <c r="Y790" s="1"/>
    </row>
    <row r="791" spans="1:25">
      <c r="A791" s="9"/>
      <c r="B791" s="8"/>
      <c r="C791" s="114"/>
      <c r="D791" s="3"/>
      <c r="E791" s="3"/>
      <c r="F791" s="1"/>
      <c r="G791" s="1"/>
      <c r="H791" s="1"/>
      <c r="I791" s="1"/>
      <c r="J791" s="1"/>
      <c r="K791" s="1"/>
      <c r="L791" s="1"/>
      <c r="M791" s="1"/>
      <c r="N791" s="1"/>
      <c r="O791" s="1"/>
      <c r="P791" s="1"/>
      <c r="Q791" s="1"/>
      <c r="R791" s="1"/>
      <c r="S791" s="1"/>
      <c r="T791" s="1"/>
      <c r="U791" s="1"/>
      <c r="V791" s="1"/>
      <c r="W791" s="1"/>
      <c r="X791" s="1"/>
      <c r="Y791" s="1"/>
    </row>
    <row r="792" spans="1:25">
      <c r="A792" s="9"/>
      <c r="B792" s="8"/>
      <c r="C792" s="114"/>
      <c r="D792" s="3"/>
      <c r="E792" s="3"/>
      <c r="F792" s="1"/>
      <c r="G792" s="1"/>
      <c r="H792" s="1"/>
      <c r="I792" s="1"/>
      <c r="J792" s="1"/>
      <c r="K792" s="1"/>
      <c r="L792" s="1"/>
      <c r="M792" s="1"/>
      <c r="N792" s="1"/>
      <c r="O792" s="1"/>
      <c r="P792" s="1"/>
      <c r="Q792" s="1"/>
      <c r="R792" s="1"/>
      <c r="S792" s="1"/>
      <c r="T792" s="1"/>
      <c r="U792" s="1"/>
      <c r="V792" s="1"/>
      <c r="W792" s="1"/>
      <c r="X792" s="1"/>
      <c r="Y792" s="1"/>
    </row>
    <row r="793" spans="1:25">
      <c r="A793" s="9"/>
      <c r="B793" s="8"/>
      <c r="C793" s="114"/>
      <c r="D793" s="3"/>
      <c r="E793" s="3"/>
      <c r="F793" s="1"/>
      <c r="G793" s="1"/>
      <c r="H793" s="1"/>
      <c r="I793" s="1"/>
      <c r="J793" s="1"/>
      <c r="K793" s="1"/>
      <c r="L793" s="1"/>
      <c r="M793" s="1"/>
      <c r="N793" s="1"/>
      <c r="O793" s="1"/>
      <c r="P793" s="1"/>
      <c r="Q793" s="1"/>
      <c r="R793" s="1"/>
      <c r="S793" s="1"/>
      <c r="T793" s="1"/>
      <c r="U793" s="1"/>
      <c r="V793" s="1"/>
      <c r="W793" s="1"/>
      <c r="X793" s="1"/>
      <c r="Y793" s="1"/>
    </row>
    <row r="794" spans="1:25">
      <c r="A794" s="9"/>
      <c r="B794" s="8"/>
      <c r="C794" s="114"/>
      <c r="D794" s="3"/>
      <c r="E794" s="3"/>
      <c r="F794" s="1"/>
      <c r="G794" s="1"/>
      <c r="H794" s="1"/>
      <c r="I794" s="1"/>
      <c r="J794" s="1"/>
      <c r="K794" s="1"/>
      <c r="L794" s="1"/>
      <c r="M794" s="1"/>
      <c r="N794" s="1"/>
      <c r="O794" s="1"/>
      <c r="P794" s="1"/>
      <c r="Q794" s="1"/>
      <c r="R794" s="1"/>
      <c r="S794" s="1"/>
      <c r="T794" s="1"/>
      <c r="U794" s="1"/>
      <c r="V794" s="1"/>
      <c r="W794" s="1"/>
      <c r="X794" s="1"/>
      <c r="Y794" s="1"/>
    </row>
    <row r="795" spans="1:25">
      <c r="A795" s="9"/>
      <c r="B795" s="8"/>
      <c r="C795" s="114"/>
      <c r="D795" s="3"/>
      <c r="E795" s="3"/>
      <c r="F795" s="1"/>
      <c r="G795" s="1"/>
      <c r="H795" s="1"/>
      <c r="I795" s="1"/>
      <c r="J795" s="1"/>
      <c r="K795" s="1"/>
      <c r="L795" s="1"/>
      <c r="M795" s="1"/>
      <c r="N795" s="1"/>
      <c r="O795" s="1"/>
      <c r="P795" s="1"/>
      <c r="Q795" s="1"/>
      <c r="R795" s="1"/>
      <c r="S795" s="1"/>
      <c r="T795" s="1"/>
      <c r="U795" s="1"/>
      <c r="V795" s="1"/>
      <c r="W795" s="1"/>
      <c r="X795" s="1"/>
      <c r="Y795" s="1"/>
    </row>
    <row r="796" spans="1:25">
      <c r="A796" s="9"/>
      <c r="B796" s="8"/>
      <c r="C796" s="114"/>
      <c r="D796" s="3"/>
      <c r="E796" s="3"/>
      <c r="F796" s="1"/>
      <c r="G796" s="1"/>
      <c r="H796" s="1"/>
      <c r="I796" s="1"/>
      <c r="J796" s="1"/>
      <c r="K796" s="1"/>
      <c r="L796" s="1"/>
      <c r="M796" s="1"/>
      <c r="N796" s="1"/>
      <c r="O796" s="1"/>
      <c r="P796" s="1"/>
      <c r="Q796" s="1"/>
      <c r="R796" s="1"/>
      <c r="S796" s="1"/>
      <c r="T796" s="1"/>
      <c r="U796" s="1"/>
      <c r="V796" s="1"/>
      <c r="W796" s="1"/>
      <c r="X796" s="1"/>
      <c r="Y796" s="1"/>
    </row>
    <row r="797" spans="1:25">
      <c r="A797" s="9"/>
      <c r="B797" s="8"/>
      <c r="C797" s="114"/>
      <c r="D797" s="3"/>
      <c r="E797" s="3"/>
      <c r="F797" s="1"/>
      <c r="G797" s="1"/>
      <c r="H797" s="1"/>
      <c r="I797" s="1"/>
      <c r="J797" s="1"/>
      <c r="K797" s="1"/>
      <c r="L797" s="1"/>
      <c r="M797" s="1"/>
      <c r="N797" s="1"/>
      <c r="O797" s="1"/>
      <c r="P797" s="1"/>
      <c r="Q797" s="1"/>
      <c r="R797" s="1"/>
      <c r="S797" s="1"/>
      <c r="T797" s="1"/>
      <c r="U797" s="1"/>
      <c r="V797" s="1"/>
      <c r="W797" s="1"/>
      <c r="X797" s="1"/>
      <c r="Y797" s="1"/>
    </row>
    <row r="798" spans="1:25">
      <c r="A798" s="9"/>
      <c r="B798" s="8"/>
      <c r="C798" s="114"/>
      <c r="D798" s="3"/>
      <c r="E798" s="3"/>
      <c r="F798" s="1"/>
      <c r="G798" s="1"/>
      <c r="H798" s="1"/>
      <c r="I798" s="1"/>
      <c r="J798" s="1"/>
      <c r="K798" s="1"/>
      <c r="L798" s="1"/>
      <c r="M798" s="1"/>
      <c r="N798" s="1"/>
      <c r="O798" s="1"/>
      <c r="P798" s="1"/>
      <c r="Q798" s="1"/>
      <c r="R798" s="1"/>
      <c r="S798" s="1"/>
      <c r="T798" s="1"/>
      <c r="U798" s="1"/>
      <c r="V798" s="1"/>
      <c r="W798" s="1"/>
      <c r="X798" s="1"/>
      <c r="Y798" s="1"/>
    </row>
    <row r="799" spans="1:25">
      <c r="A799" s="9"/>
      <c r="B799" s="8"/>
      <c r="C799" s="114"/>
      <c r="D799" s="3"/>
      <c r="E799" s="3"/>
      <c r="F799" s="1"/>
      <c r="G799" s="1"/>
      <c r="H799" s="1"/>
      <c r="I799" s="1"/>
      <c r="J799" s="1"/>
      <c r="K799" s="1"/>
      <c r="L799" s="1"/>
      <c r="M799" s="1"/>
      <c r="N799" s="1"/>
      <c r="O799" s="1"/>
      <c r="P799" s="1"/>
      <c r="Q799" s="1"/>
      <c r="R799" s="1"/>
      <c r="S799" s="1"/>
      <c r="T799" s="1"/>
      <c r="U799" s="1"/>
      <c r="V799" s="1"/>
      <c r="W799" s="1"/>
      <c r="X799" s="1"/>
      <c r="Y799" s="1"/>
    </row>
    <row r="800" spans="1:25">
      <c r="A800" s="9"/>
      <c r="B800" s="8"/>
      <c r="C800" s="114"/>
      <c r="D800" s="3"/>
      <c r="E800" s="3"/>
      <c r="F800" s="1"/>
      <c r="G800" s="1"/>
      <c r="H800" s="1"/>
      <c r="I800" s="1"/>
      <c r="J800" s="1"/>
      <c r="K800" s="1"/>
      <c r="L800" s="1"/>
      <c r="M800" s="1"/>
      <c r="N800" s="1"/>
      <c r="O800" s="1"/>
      <c r="P800" s="1"/>
      <c r="Q800" s="1"/>
      <c r="R800" s="1"/>
      <c r="S800" s="1"/>
      <c r="T800" s="1"/>
      <c r="U800" s="1"/>
      <c r="V800" s="1"/>
      <c r="W800" s="1"/>
      <c r="X800" s="1"/>
      <c r="Y800" s="1"/>
    </row>
    <row r="801" spans="1:25">
      <c r="A801" s="9"/>
      <c r="B801" s="8"/>
      <c r="C801" s="114"/>
      <c r="D801" s="3"/>
      <c r="E801" s="3"/>
      <c r="F801" s="1"/>
      <c r="G801" s="1"/>
      <c r="H801" s="1"/>
      <c r="I801" s="1"/>
      <c r="J801" s="1"/>
      <c r="K801" s="1"/>
      <c r="L801" s="1"/>
      <c r="M801" s="1"/>
      <c r="N801" s="1"/>
      <c r="O801" s="1"/>
      <c r="P801" s="1"/>
      <c r="Q801" s="1"/>
      <c r="R801" s="1"/>
      <c r="S801" s="1"/>
      <c r="T801" s="1"/>
      <c r="U801" s="1"/>
      <c r="V801" s="1"/>
      <c r="W801" s="1"/>
      <c r="X801" s="1"/>
      <c r="Y801" s="1"/>
    </row>
    <row r="802" spans="1:25">
      <c r="A802" s="9"/>
      <c r="B802" s="8"/>
      <c r="C802" s="114"/>
      <c r="D802" s="3"/>
      <c r="E802" s="3"/>
      <c r="F802" s="1"/>
      <c r="G802" s="1"/>
      <c r="H802" s="1"/>
      <c r="I802" s="1"/>
      <c r="J802" s="1"/>
      <c r="K802" s="1"/>
      <c r="L802" s="1"/>
      <c r="M802" s="1"/>
      <c r="N802" s="1"/>
      <c r="O802" s="1"/>
      <c r="P802" s="1"/>
      <c r="Q802" s="1"/>
      <c r="R802" s="1"/>
      <c r="S802" s="1"/>
      <c r="T802" s="1"/>
      <c r="U802" s="1"/>
      <c r="V802" s="1"/>
      <c r="W802" s="1"/>
      <c r="X802" s="1"/>
      <c r="Y802" s="1"/>
    </row>
    <row r="803" spans="1:25">
      <c r="A803" s="9"/>
      <c r="B803" s="8"/>
      <c r="C803" s="114"/>
      <c r="D803" s="3"/>
      <c r="E803" s="3"/>
      <c r="F803" s="1"/>
      <c r="G803" s="1"/>
      <c r="H803" s="1"/>
      <c r="I803" s="1"/>
      <c r="J803" s="1"/>
      <c r="K803" s="1"/>
      <c r="L803" s="1"/>
      <c r="M803" s="1"/>
      <c r="N803" s="1"/>
      <c r="O803" s="1"/>
      <c r="P803" s="1"/>
      <c r="Q803" s="1"/>
      <c r="R803" s="1"/>
      <c r="S803" s="1"/>
      <c r="T803" s="1"/>
      <c r="U803" s="1"/>
      <c r="V803" s="1"/>
      <c r="W803" s="1"/>
      <c r="X803" s="1"/>
      <c r="Y803" s="1"/>
    </row>
    <row r="804" spans="1:25">
      <c r="A804" s="9"/>
      <c r="B804" s="8"/>
      <c r="C804" s="114"/>
      <c r="D804" s="3"/>
      <c r="E804" s="3"/>
      <c r="F804" s="1"/>
      <c r="G804" s="1"/>
      <c r="H804" s="1"/>
      <c r="I804" s="1"/>
      <c r="J804" s="1"/>
      <c r="K804" s="1"/>
      <c r="L804" s="1"/>
      <c r="M804" s="1"/>
      <c r="N804" s="1"/>
      <c r="O804" s="1"/>
      <c r="P804" s="1"/>
      <c r="Q804" s="1"/>
      <c r="R804" s="1"/>
      <c r="S804" s="1"/>
      <c r="T804" s="1"/>
      <c r="U804" s="1"/>
      <c r="V804" s="1"/>
      <c r="W804" s="1"/>
      <c r="X804" s="1"/>
      <c r="Y804" s="1"/>
    </row>
    <row r="805" spans="1:25">
      <c r="A805" s="9"/>
      <c r="B805" s="8"/>
      <c r="C805" s="114"/>
      <c r="D805" s="3"/>
      <c r="E805" s="3"/>
      <c r="F805" s="1"/>
      <c r="G805" s="1"/>
      <c r="H805" s="1"/>
      <c r="I805" s="1"/>
      <c r="J805" s="1"/>
      <c r="K805" s="1"/>
      <c r="L805" s="1"/>
      <c r="M805" s="1"/>
      <c r="N805" s="1"/>
      <c r="O805" s="1"/>
      <c r="P805" s="1"/>
      <c r="Q805" s="1"/>
      <c r="R805" s="1"/>
      <c r="S805" s="1"/>
      <c r="T805" s="1"/>
      <c r="U805" s="1"/>
      <c r="V805" s="1"/>
      <c r="W805" s="1"/>
      <c r="X805" s="1"/>
      <c r="Y805" s="1"/>
    </row>
    <row r="806" spans="1:25">
      <c r="A806" s="9"/>
      <c r="B806" s="8"/>
      <c r="C806" s="114"/>
      <c r="D806" s="3"/>
      <c r="E806" s="3"/>
      <c r="F806" s="1"/>
      <c r="G806" s="1"/>
      <c r="H806" s="1"/>
      <c r="I806" s="1"/>
      <c r="J806" s="1"/>
      <c r="K806" s="1"/>
      <c r="L806" s="1"/>
      <c r="M806" s="1"/>
      <c r="N806" s="1"/>
      <c r="O806" s="1"/>
      <c r="P806" s="1"/>
      <c r="Q806" s="1"/>
      <c r="R806" s="1"/>
      <c r="S806" s="1"/>
      <c r="T806" s="1"/>
      <c r="U806" s="1"/>
      <c r="V806" s="1"/>
      <c r="W806" s="1"/>
      <c r="X806" s="1"/>
      <c r="Y806" s="1"/>
    </row>
    <row r="807" spans="1:25">
      <c r="A807" s="9"/>
      <c r="B807" s="8"/>
      <c r="C807" s="114"/>
      <c r="D807" s="3"/>
      <c r="E807" s="3"/>
      <c r="F807" s="1"/>
      <c r="G807" s="1"/>
      <c r="H807" s="1"/>
      <c r="I807" s="1"/>
      <c r="J807" s="1"/>
      <c r="K807" s="1"/>
      <c r="L807" s="1"/>
      <c r="M807" s="1"/>
      <c r="N807" s="1"/>
      <c r="O807" s="1"/>
      <c r="P807" s="1"/>
      <c r="Q807" s="1"/>
      <c r="R807" s="1"/>
      <c r="S807" s="1"/>
      <c r="T807" s="1"/>
      <c r="U807" s="1"/>
      <c r="V807" s="1"/>
      <c r="W807" s="1"/>
      <c r="X807" s="1"/>
      <c r="Y807" s="1"/>
    </row>
    <row r="808" spans="1:25">
      <c r="A808" s="9"/>
      <c r="B808" s="8"/>
      <c r="C808" s="114"/>
      <c r="D808" s="3"/>
      <c r="E808" s="3"/>
      <c r="F808" s="1"/>
      <c r="G808" s="1"/>
      <c r="H808" s="1"/>
      <c r="I808" s="1"/>
      <c r="J808" s="1"/>
      <c r="K808" s="1"/>
      <c r="L808" s="1"/>
      <c r="M808" s="1"/>
      <c r="N808" s="1"/>
      <c r="O808" s="1"/>
      <c r="P808" s="1"/>
      <c r="Q808" s="1"/>
      <c r="R808" s="1"/>
      <c r="S808" s="1"/>
      <c r="T808" s="1"/>
      <c r="U808" s="1"/>
      <c r="V808" s="1"/>
      <c r="W808" s="1"/>
      <c r="X808" s="1"/>
      <c r="Y808" s="1"/>
    </row>
    <row r="809" spans="1:25">
      <c r="A809" s="9"/>
      <c r="B809" s="8"/>
      <c r="C809" s="114"/>
      <c r="D809" s="3"/>
      <c r="E809" s="3"/>
      <c r="F809" s="1"/>
      <c r="G809" s="1"/>
      <c r="H809" s="1"/>
      <c r="I809" s="1"/>
      <c r="J809" s="1"/>
      <c r="K809" s="1"/>
      <c r="L809" s="1"/>
      <c r="M809" s="1"/>
      <c r="N809" s="1"/>
      <c r="O809" s="1"/>
      <c r="P809" s="1"/>
      <c r="Q809" s="1"/>
      <c r="R809" s="1"/>
      <c r="S809" s="1"/>
      <c r="T809" s="1"/>
      <c r="U809" s="1"/>
      <c r="V809" s="1"/>
      <c r="W809" s="1"/>
      <c r="X809" s="1"/>
      <c r="Y809" s="1"/>
    </row>
    <row r="810" spans="1:25">
      <c r="A810" s="9"/>
      <c r="B810" s="8"/>
      <c r="C810" s="114"/>
      <c r="D810" s="3"/>
      <c r="E810" s="3"/>
      <c r="F810" s="1"/>
      <c r="G810" s="1"/>
      <c r="H810" s="1"/>
      <c r="I810" s="1"/>
      <c r="J810" s="1"/>
      <c r="K810" s="1"/>
      <c r="L810" s="1"/>
      <c r="M810" s="1"/>
      <c r="N810" s="1"/>
      <c r="O810" s="1"/>
      <c r="P810" s="1"/>
      <c r="Q810" s="1"/>
      <c r="R810" s="1"/>
      <c r="S810" s="1"/>
      <c r="T810" s="1"/>
      <c r="U810" s="1"/>
      <c r="V810" s="1"/>
      <c r="W810" s="1"/>
      <c r="X810" s="1"/>
      <c r="Y810" s="1"/>
    </row>
    <row r="811" spans="1:25">
      <c r="A811" s="9"/>
      <c r="B811" s="8"/>
      <c r="C811" s="114"/>
      <c r="D811" s="3"/>
      <c r="E811" s="3"/>
      <c r="F811" s="1"/>
      <c r="G811" s="1"/>
      <c r="H811" s="1"/>
      <c r="I811" s="1"/>
      <c r="J811" s="1"/>
      <c r="K811" s="1"/>
      <c r="L811" s="1"/>
      <c r="M811" s="1"/>
      <c r="N811" s="1"/>
      <c r="O811" s="1"/>
      <c r="P811" s="1"/>
      <c r="Q811" s="1"/>
      <c r="R811" s="1"/>
      <c r="S811" s="1"/>
      <c r="T811" s="1"/>
      <c r="U811" s="1"/>
      <c r="V811" s="1"/>
      <c r="W811" s="1"/>
      <c r="X811" s="1"/>
      <c r="Y811" s="1"/>
    </row>
    <row r="812" spans="1:25">
      <c r="A812" s="9"/>
      <c r="B812" s="8"/>
      <c r="C812" s="114"/>
      <c r="D812" s="3"/>
      <c r="E812" s="3"/>
      <c r="F812" s="1"/>
      <c r="G812" s="1"/>
      <c r="H812" s="1"/>
      <c r="I812" s="1"/>
      <c r="J812" s="1"/>
      <c r="K812" s="1"/>
      <c r="L812" s="1"/>
      <c r="M812" s="1"/>
      <c r="N812" s="1"/>
      <c r="O812" s="1"/>
      <c r="P812" s="1"/>
      <c r="Q812" s="1"/>
      <c r="R812" s="1"/>
      <c r="S812" s="1"/>
      <c r="T812" s="1"/>
      <c r="U812" s="1"/>
      <c r="V812" s="1"/>
      <c r="W812" s="1"/>
      <c r="X812" s="1"/>
      <c r="Y812" s="1"/>
    </row>
    <row r="813" spans="1:25">
      <c r="A813" s="9"/>
      <c r="B813" s="8"/>
      <c r="C813" s="114"/>
      <c r="D813" s="3"/>
      <c r="E813" s="3"/>
      <c r="F813" s="1"/>
      <c r="G813" s="1"/>
      <c r="H813" s="1"/>
      <c r="I813" s="1"/>
      <c r="J813" s="1"/>
      <c r="K813" s="1"/>
      <c r="L813" s="1"/>
      <c r="M813" s="1"/>
      <c r="N813" s="1"/>
      <c r="O813" s="1"/>
      <c r="P813" s="1"/>
      <c r="Q813" s="1"/>
      <c r="R813" s="1"/>
      <c r="S813" s="1"/>
      <c r="T813" s="1"/>
      <c r="U813" s="1"/>
      <c r="V813" s="1"/>
      <c r="W813" s="1"/>
      <c r="X813" s="1"/>
      <c r="Y813" s="1"/>
    </row>
    <row r="814" spans="1:25">
      <c r="A814" s="9"/>
      <c r="B814" s="8"/>
      <c r="C814" s="114"/>
      <c r="D814" s="3"/>
      <c r="E814" s="3"/>
      <c r="F814" s="1"/>
      <c r="G814" s="1"/>
      <c r="H814" s="1"/>
      <c r="I814" s="1"/>
      <c r="J814" s="1"/>
      <c r="K814" s="1"/>
      <c r="L814" s="1"/>
      <c r="M814" s="1"/>
      <c r="N814" s="1"/>
      <c r="O814" s="1"/>
      <c r="P814" s="1"/>
      <c r="Q814" s="1"/>
      <c r="R814" s="1"/>
      <c r="S814" s="1"/>
      <c r="T814" s="1"/>
      <c r="U814" s="1"/>
      <c r="V814" s="1"/>
      <c r="W814" s="1"/>
      <c r="X814" s="1"/>
      <c r="Y814" s="1"/>
    </row>
    <row r="815" spans="1:25">
      <c r="A815" s="9"/>
      <c r="B815" s="8"/>
      <c r="C815" s="114"/>
      <c r="D815" s="3"/>
      <c r="E815" s="3"/>
      <c r="F815" s="1"/>
      <c r="G815" s="1"/>
      <c r="H815" s="1"/>
      <c r="I815" s="1"/>
      <c r="J815" s="1"/>
      <c r="K815" s="1"/>
      <c r="L815" s="1"/>
      <c r="M815" s="1"/>
      <c r="N815" s="1"/>
      <c r="O815" s="1"/>
      <c r="P815" s="1"/>
      <c r="Q815" s="1"/>
      <c r="R815" s="1"/>
      <c r="S815" s="1"/>
      <c r="T815" s="1"/>
      <c r="U815" s="1"/>
      <c r="V815" s="1"/>
      <c r="W815" s="1"/>
      <c r="X815" s="1"/>
      <c r="Y815" s="1"/>
    </row>
    <row r="816" spans="1:25">
      <c r="A816" s="9"/>
      <c r="B816" s="8"/>
      <c r="C816" s="114"/>
      <c r="D816" s="3"/>
      <c r="E816" s="3"/>
      <c r="F816" s="1"/>
      <c r="G816" s="1"/>
      <c r="H816" s="1"/>
      <c r="I816" s="1"/>
      <c r="J816" s="1"/>
      <c r="K816" s="1"/>
      <c r="L816" s="1"/>
      <c r="M816" s="1"/>
      <c r="N816" s="1"/>
      <c r="O816" s="1"/>
      <c r="P816" s="1"/>
      <c r="Q816" s="1"/>
      <c r="R816" s="1"/>
      <c r="S816" s="1"/>
      <c r="T816" s="1"/>
      <c r="U816" s="1"/>
      <c r="V816" s="1"/>
      <c r="W816" s="1"/>
      <c r="X816" s="1"/>
      <c r="Y816" s="1"/>
    </row>
    <row r="817" spans="1:25">
      <c r="A817" s="9"/>
      <c r="B817" s="8"/>
      <c r="C817" s="114"/>
      <c r="D817" s="3"/>
      <c r="E817" s="3"/>
      <c r="F817" s="1"/>
      <c r="G817" s="1"/>
      <c r="H817" s="1"/>
      <c r="I817" s="1"/>
      <c r="J817" s="1"/>
      <c r="K817" s="1"/>
      <c r="L817" s="1"/>
      <c r="M817" s="1"/>
      <c r="N817" s="1"/>
      <c r="O817" s="1"/>
      <c r="P817" s="1"/>
      <c r="Q817" s="1"/>
      <c r="R817" s="1"/>
      <c r="S817" s="1"/>
      <c r="T817" s="1"/>
      <c r="U817" s="1"/>
      <c r="V817" s="1"/>
      <c r="W817" s="1"/>
      <c r="X817" s="1"/>
      <c r="Y817" s="1"/>
    </row>
    <row r="818" spans="1:25">
      <c r="A818" s="9"/>
      <c r="B818" s="8"/>
      <c r="C818" s="114"/>
      <c r="D818" s="3"/>
      <c r="E818" s="3"/>
      <c r="F818" s="1"/>
      <c r="G818" s="1"/>
      <c r="H818" s="1"/>
      <c r="I818" s="1"/>
      <c r="J818" s="1"/>
      <c r="K818" s="1"/>
      <c r="L818" s="1"/>
      <c r="M818" s="1"/>
      <c r="N818" s="1"/>
      <c r="O818" s="1"/>
      <c r="P818" s="1"/>
      <c r="Q818" s="1"/>
      <c r="R818" s="1"/>
      <c r="S818" s="1"/>
      <c r="T818" s="1"/>
      <c r="U818" s="1"/>
      <c r="V818" s="1"/>
      <c r="W818" s="1"/>
      <c r="X818" s="1"/>
      <c r="Y818" s="1"/>
    </row>
    <row r="819" spans="1:25">
      <c r="A819" s="9"/>
      <c r="B819" s="8"/>
      <c r="C819" s="114"/>
      <c r="D819" s="3"/>
      <c r="E819" s="3"/>
      <c r="F819" s="1"/>
      <c r="G819" s="1"/>
      <c r="H819" s="1"/>
      <c r="I819" s="1"/>
      <c r="J819" s="1"/>
      <c r="K819" s="1"/>
      <c r="L819" s="1"/>
      <c r="M819" s="1"/>
      <c r="N819" s="1"/>
      <c r="O819" s="1"/>
      <c r="P819" s="1"/>
      <c r="Q819" s="1"/>
      <c r="R819" s="1"/>
      <c r="S819" s="1"/>
      <c r="T819" s="1"/>
      <c r="U819" s="1"/>
      <c r="V819" s="1"/>
      <c r="W819" s="1"/>
      <c r="X819" s="1"/>
      <c r="Y819" s="1"/>
    </row>
    <row r="820" spans="1:25">
      <c r="A820" s="9"/>
      <c r="B820" s="8"/>
      <c r="C820" s="114"/>
      <c r="D820" s="3"/>
      <c r="E820" s="3"/>
      <c r="F820" s="1"/>
      <c r="G820" s="1"/>
      <c r="H820" s="1"/>
      <c r="I820" s="1"/>
      <c r="J820" s="1"/>
      <c r="K820" s="1"/>
      <c r="L820" s="1"/>
      <c r="M820" s="1"/>
      <c r="N820" s="1"/>
      <c r="O820" s="1"/>
      <c r="P820" s="1"/>
      <c r="Q820" s="1"/>
      <c r="R820" s="1"/>
      <c r="S820" s="1"/>
      <c r="T820" s="1"/>
      <c r="U820" s="1"/>
      <c r="V820" s="1"/>
      <c r="W820" s="1"/>
      <c r="X820" s="1"/>
      <c r="Y820" s="1"/>
    </row>
    <row r="821" spans="1:25">
      <c r="A821" s="9"/>
      <c r="B821" s="8"/>
      <c r="C821" s="114"/>
      <c r="D821" s="3"/>
      <c r="E821" s="3"/>
      <c r="F821" s="1"/>
      <c r="G821" s="1"/>
      <c r="H821" s="1"/>
      <c r="I821" s="1"/>
      <c r="J821" s="1"/>
      <c r="K821" s="1"/>
      <c r="L821" s="1"/>
      <c r="M821" s="1"/>
      <c r="N821" s="1"/>
      <c r="O821" s="1"/>
      <c r="P821" s="1"/>
      <c r="Q821" s="1"/>
      <c r="R821" s="1"/>
      <c r="S821" s="1"/>
      <c r="T821" s="1"/>
      <c r="U821" s="1"/>
      <c r="V821" s="1"/>
      <c r="W821" s="1"/>
      <c r="X821" s="1"/>
      <c r="Y821" s="1"/>
    </row>
    <row r="822" spans="1:25">
      <c r="A822" s="9"/>
      <c r="B822" s="8"/>
      <c r="C822" s="114"/>
      <c r="D822" s="3"/>
      <c r="E822" s="3"/>
      <c r="F822" s="1"/>
      <c r="G822" s="1"/>
      <c r="H822" s="1"/>
      <c r="I822" s="1"/>
      <c r="J822" s="1"/>
      <c r="K822" s="1"/>
      <c r="L822" s="1"/>
      <c r="M822" s="1"/>
      <c r="N822" s="1"/>
      <c r="O822" s="1"/>
      <c r="P822" s="1"/>
      <c r="Q822" s="1"/>
      <c r="R822" s="1"/>
      <c r="S822" s="1"/>
      <c r="T822" s="1"/>
      <c r="U822" s="1"/>
      <c r="V822" s="1"/>
      <c r="W822" s="1"/>
      <c r="X822" s="1"/>
      <c r="Y822" s="1"/>
    </row>
    <row r="823" spans="1:25">
      <c r="A823" s="9"/>
      <c r="B823" s="8"/>
      <c r="C823" s="114"/>
      <c r="D823" s="3"/>
      <c r="E823" s="3"/>
      <c r="F823" s="1"/>
      <c r="G823" s="1"/>
      <c r="H823" s="1"/>
      <c r="I823" s="1"/>
      <c r="J823" s="1"/>
      <c r="K823" s="1"/>
      <c r="L823" s="1"/>
      <c r="M823" s="1"/>
      <c r="N823" s="1"/>
      <c r="O823" s="1"/>
      <c r="P823" s="1"/>
      <c r="Q823" s="1"/>
      <c r="R823" s="1"/>
      <c r="S823" s="1"/>
      <c r="T823" s="1"/>
      <c r="U823" s="1"/>
      <c r="V823" s="1"/>
      <c r="W823" s="1"/>
      <c r="X823" s="1"/>
      <c r="Y823" s="1"/>
    </row>
    <row r="824" spans="1:25">
      <c r="A824" s="9"/>
      <c r="B824" s="8"/>
      <c r="C824" s="114"/>
      <c r="D824" s="3"/>
      <c r="E824" s="3"/>
      <c r="F824" s="1"/>
      <c r="G824" s="1"/>
      <c r="H824" s="1"/>
      <c r="I824" s="1"/>
      <c r="J824" s="1"/>
      <c r="K824" s="1"/>
      <c r="L824" s="1"/>
      <c r="M824" s="1"/>
      <c r="N824" s="1"/>
      <c r="O824" s="1"/>
      <c r="P824" s="1"/>
      <c r="Q824" s="1"/>
      <c r="R824" s="1"/>
      <c r="S824" s="1"/>
      <c r="T824" s="1"/>
      <c r="U824" s="1"/>
      <c r="V824" s="1"/>
      <c r="W824" s="1"/>
      <c r="X824" s="1"/>
      <c r="Y824" s="1"/>
    </row>
    <row r="825" spans="1:25">
      <c r="A825" s="9"/>
      <c r="B825" s="8"/>
      <c r="C825" s="114"/>
      <c r="D825" s="3"/>
      <c r="E825" s="3"/>
      <c r="F825" s="1"/>
      <c r="G825" s="1"/>
      <c r="H825" s="1"/>
      <c r="I825" s="1"/>
      <c r="J825" s="1"/>
      <c r="K825" s="1"/>
      <c r="L825" s="1"/>
      <c r="M825" s="1"/>
      <c r="N825" s="1"/>
      <c r="O825" s="1"/>
      <c r="P825" s="1"/>
      <c r="Q825" s="1"/>
      <c r="R825" s="1"/>
      <c r="S825" s="1"/>
      <c r="T825" s="1"/>
      <c r="U825" s="1"/>
      <c r="V825" s="1"/>
      <c r="W825" s="1"/>
      <c r="X825" s="1"/>
      <c r="Y825" s="1"/>
    </row>
    <row r="826" spans="1:25">
      <c r="A826" s="9"/>
      <c r="B826" s="8"/>
      <c r="C826" s="114"/>
      <c r="D826" s="3"/>
      <c r="E826" s="3"/>
      <c r="F826" s="1"/>
      <c r="G826" s="1"/>
      <c r="H826" s="1"/>
      <c r="I826" s="1"/>
      <c r="J826" s="1"/>
      <c r="K826" s="1"/>
      <c r="L826" s="1"/>
      <c r="M826" s="1"/>
      <c r="N826" s="1"/>
      <c r="O826" s="1"/>
      <c r="P826" s="1"/>
      <c r="Q826" s="1"/>
      <c r="R826" s="1"/>
      <c r="S826" s="1"/>
      <c r="T826" s="1"/>
      <c r="U826" s="1"/>
      <c r="V826" s="1"/>
      <c r="W826" s="1"/>
      <c r="X826" s="1"/>
      <c r="Y826" s="1"/>
    </row>
    <row r="827" spans="1:25">
      <c r="A827" s="9"/>
      <c r="B827" s="8"/>
      <c r="C827" s="114"/>
      <c r="D827" s="3"/>
      <c r="E827" s="3"/>
      <c r="F827" s="1"/>
      <c r="G827" s="1"/>
      <c r="H827" s="1"/>
      <c r="I827" s="1"/>
      <c r="J827" s="1"/>
      <c r="K827" s="1"/>
      <c r="L827" s="1"/>
      <c r="M827" s="1"/>
      <c r="N827" s="1"/>
      <c r="O827" s="1"/>
      <c r="P827" s="1"/>
      <c r="Q827" s="1"/>
      <c r="R827" s="1"/>
      <c r="S827" s="1"/>
      <c r="T827" s="1"/>
      <c r="U827" s="1"/>
      <c r="V827" s="1"/>
      <c r="W827" s="1"/>
      <c r="X827" s="1"/>
      <c r="Y827" s="1"/>
    </row>
    <row r="828" spans="1:25">
      <c r="A828" s="9"/>
      <c r="B828" s="8"/>
      <c r="C828" s="114"/>
      <c r="D828" s="3"/>
      <c r="E828" s="3"/>
      <c r="F828" s="1"/>
      <c r="G828" s="1"/>
      <c r="H828" s="1"/>
      <c r="I828" s="1"/>
      <c r="J828" s="1"/>
      <c r="K828" s="1"/>
      <c r="L828" s="1"/>
      <c r="M828" s="1"/>
      <c r="N828" s="1"/>
      <c r="O828" s="1"/>
      <c r="P828" s="1"/>
      <c r="Q828" s="1"/>
      <c r="R828" s="1"/>
      <c r="S828" s="1"/>
      <c r="T828" s="1"/>
      <c r="U828" s="1"/>
      <c r="V828" s="1"/>
      <c r="W828" s="1"/>
      <c r="X828" s="1"/>
      <c r="Y828" s="1"/>
    </row>
    <row r="829" spans="1:25">
      <c r="A829" s="9"/>
      <c r="B829" s="8"/>
      <c r="C829" s="114"/>
      <c r="D829" s="3"/>
      <c r="E829" s="3"/>
      <c r="F829" s="1"/>
      <c r="G829" s="1"/>
      <c r="H829" s="1"/>
      <c r="I829" s="1"/>
      <c r="J829" s="1"/>
      <c r="K829" s="1"/>
      <c r="L829" s="1"/>
      <c r="M829" s="1"/>
      <c r="N829" s="1"/>
      <c r="O829" s="1"/>
      <c r="P829" s="1"/>
      <c r="Q829" s="1"/>
      <c r="R829" s="1"/>
      <c r="S829" s="1"/>
      <c r="T829" s="1"/>
      <c r="U829" s="1"/>
      <c r="V829" s="1"/>
      <c r="W829" s="1"/>
      <c r="X829" s="1"/>
      <c r="Y829" s="1"/>
    </row>
    <row r="830" spans="1:25">
      <c r="A830" s="9"/>
      <c r="B830" s="8"/>
      <c r="C830" s="114"/>
      <c r="D830" s="3"/>
      <c r="E830" s="3"/>
      <c r="F830" s="1"/>
      <c r="G830" s="1"/>
      <c r="H830" s="1"/>
      <c r="I830" s="1"/>
      <c r="J830" s="1"/>
      <c r="K830" s="1"/>
      <c r="L830" s="1"/>
      <c r="M830" s="1"/>
      <c r="N830" s="1"/>
      <c r="O830" s="1"/>
      <c r="P830" s="1"/>
      <c r="Q830" s="1"/>
      <c r="R830" s="1"/>
      <c r="S830" s="1"/>
      <c r="T830" s="1"/>
      <c r="U830" s="1"/>
      <c r="V830" s="1"/>
      <c r="W830" s="1"/>
      <c r="X830" s="1"/>
      <c r="Y830" s="1"/>
    </row>
    <row r="831" spans="1:25">
      <c r="A831" s="9"/>
      <c r="B831" s="8"/>
      <c r="C831" s="114"/>
      <c r="D831" s="3"/>
      <c r="E831" s="3"/>
      <c r="F831" s="1"/>
      <c r="G831" s="1"/>
      <c r="H831" s="1"/>
      <c r="I831" s="1"/>
      <c r="J831" s="1"/>
      <c r="K831" s="1"/>
      <c r="L831" s="1"/>
      <c r="M831" s="1"/>
      <c r="N831" s="1"/>
      <c r="O831" s="1"/>
      <c r="P831" s="1"/>
      <c r="Q831" s="1"/>
      <c r="R831" s="1"/>
      <c r="S831" s="1"/>
      <c r="T831" s="1"/>
      <c r="U831" s="1"/>
      <c r="V831" s="1"/>
      <c r="W831" s="1"/>
      <c r="X831" s="1"/>
      <c r="Y831" s="1"/>
    </row>
    <row r="832" spans="1:25">
      <c r="A832" s="9"/>
      <c r="B832" s="8"/>
      <c r="C832" s="114"/>
      <c r="D832" s="3"/>
      <c r="E832" s="3"/>
      <c r="F832" s="1"/>
      <c r="G832" s="1"/>
      <c r="H832" s="1"/>
      <c r="I832" s="1"/>
      <c r="J832" s="1"/>
      <c r="K832" s="1"/>
      <c r="L832" s="1"/>
      <c r="M832" s="1"/>
      <c r="N832" s="1"/>
      <c r="O832" s="1"/>
      <c r="P832" s="1"/>
      <c r="Q832" s="1"/>
      <c r="R832" s="1"/>
      <c r="S832" s="1"/>
      <c r="T832" s="1"/>
      <c r="U832" s="1"/>
      <c r="V832" s="1"/>
      <c r="W832" s="1"/>
      <c r="X832" s="1"/>
      <c r="Y832" s="1"/>
    </row>
    <row r="833" spans="1:25">
      <c r="A833" s="9"/>
      <c r="B833" s="8"/>
      <c r="C833" s="114"/>
      <c r="D833" s="3"/>
      <c r="E833" s="3"/>
      <c r="F833" s="1"/>
      <c r="G833" s="1"/>
      <c r="H833" s="1"/>
      <c r="I833" s="1"/>
      <c r="J833" s="1"/>
      <c r="K833" s="1"/>
      <c r="L833" s="1"/>
      <c r="M833" s="1"/>
      <c r="N833" s="1"/>
      <c r="O833" s="1"/>
      <c r="P833" s="1"/>
      <c r="Q833" s="1"/>
      <c r="R833" s="1"/>
      <c r="S833" s="1"/>
      <c r="T833" s="1"/>
      <c r="U833" s="1"/>
      <c r="V833" s="1"/>
      <c r="W833" s="1"/>
      <c r="X833" s="1"/>
      <c r="Y833" s="1"/>
    </row>
    <row r="834" spans="1:25">
      <c r="A834" s="9"/>
      <c r="B834" s="8"/>
      <c r="C834" s="114"/>
      <c r="D834" s="3"/>
      <c r="E834" s="3"/>
      <c r="F834" s="1"/>
      <c r="G834" s="1"/>
      <c r="H834" s="1"/>
      <c r="I834" s="1"/>
      <c r="J834" s="1"/>
      <c r="K834" s="1"/>
      <c r="L834" s="1"/>
      <c r="M834" s="1"/>
      <c r="N834" s="1"/>
      <c r="O834" s="1"/>
      <c r="P834" s="1"/>
      <c r="Q834" s="1"/>
      <c r="R834" s="1"/>
      <c r="S834" s="1"/>
      <c r="T834" s="1"/>
      <c r="U834" s="1"/>
      <c r="V834" s="1"/>
      <c r="W834" s="1"/>
      <c r="X834" s="1"/>
      <c r="Y834" s="1"/>
    </row>
    <row r="835" spans="1:25">
      <c r="A835" s="9"/>
      <c r="B835" s="8"/>
      <c r="C835" s="114"/>
      <c r="D835" s="3"/>
      <c r="E835" s="3"/>
      <c r="F835" s="1"/>
      <c r="G835" s="1"/>
      <c r="H835" s="1"/>
      <c r="I835" s="1"/>
      <c r="J835" s="1"/>
      <c r="K835" s="1"/>
      <c r="L835" s="1"/>
      <c r="M835" s="1"/>
      <c r="N835" s="1"/>
      <c r="O835" s="1"/>
      <c r="P835" s="1"/>
      <c r="Q835" s="1"/>
      <c r="R835" s="1"/>
      <c r="S835" s="1"/>
      <c r="T835" s="1"/>
      <c r="U835" s="1"/>
      <c r="V835" s="1"/>
      <c r="W835" s="1"/>
      <c r="X835" s="1"/>
      <c r="Y835" s="1"/>
    </row>
    <row r="836" spans="1:25">
      <c r="A836" s="9"/>
      <c r="B836" s="8"/>
      <c r="C836" s="114"/>
      <c r="D836" s="3"/>
      <c r="E836" s="3"/>
      <c r="F836" s="1"/>
      <c r="G836" s="1"/>
      <c r="H836" s="1"/>
      <c r="I836" s="1"/>
      <c r="J836" s="1"/>
      <c r="K836" s="1"/>
      <c r="L836" s="1"/>
      <c r="M836" s="1"/>
      <c r="N836" s="1"/>
      <c r="O836" s="1"/>
      <c r="P836" s="1"/>
      <c r="Q836" s="1"/>
      <c r="R836" s="1"/>
      <c r="S836" s="1"/>
      <c r="T836" s="1"/>
      <c r="U836" s="1"/>
      <c r="V836" s="1"/>
      <c r="W836" s="1"/>
      <c r="X836" s="1"/>
      <c r="Y836" s="1"/>
    </row>
    <row r="837" spans="1:25">
      <c r="A837" s="9"/>
      <c r="B837" s="8"/>
      <c r="C837" s="114"/>
      <c r="D837" s="3"/>
      <c r="E837" s="3"/>
      <c r="F837" s="1"/>
      <c r="G837" s="1"/>
      <c r="H837" s="1"/>
      <c r="I837" s="1"/>
      <c r="J837" s="1"/>
      <c r="K837" s="1"/>
      <c r="L837" s="1"/>
      <c r="M837" s="1"/>
      <c r="N837" s="1"/>
      <c r="O837" s="1"/>
      <c r="P837" s="1"/>
      <c r="Q837" s="1"/>
      <c r="R837" s="1"/>
      <c r="S837" s="1"/>
      <c r="T837" s="1"/>
      <c r="U837" s="1"/>
      <c r="V837" s="1"/>
      <c r="W837" s="1"/>
      <c r="X837" s="1"/>
      <c r="Y837" s="1"/>
    </row>
    <row r="838" spans="1:25">
      <c r="A838" s="9"/>
      <c r="B838" s="8"/>
      <c r="C838" s="114"/>
      <c r="D838" s="3"/>
      <c r="E838" s="3"/>
      <c r="F838" s="1"/>
      <c r="G838" s="1"/>
      <c r="H838" s="1"/>
      <c r="I838" s="1"/>
      <c r="J838" s="1"/>
      <c r="K838" s="1"/>
      <c r="L838" s="1"/>
      <c r="M838" s="1"/>
      <c r="N838" s="1"/>
      <c r="O838" s="1"/>
      <c r="P838" s="1"/>
      <c r="Q838" s="1"/>
      <c r="R838" s="1"/>
      <c r="S838" s="1"/>
      <c r="T838" s="1"/>
      <c r="U838" s="1"/>
      <c r="V838" s="1"/>
      <c r="W838" s="1"/>
      <c r="X838" s="1"/>
      <c r="Y838" s="1"/>
    </row>
    <row r="839" spans="1:25">
      <c r="A839" s="9"/>
      <c r="B839" s="8"/>
      <c r="C839" s="114"/>
      <c r="D839" s="3"/>
      <c r="E839" s="3"/>
      <c r="F839" s="1"/>
      <c r="G839" s="1"/>
      <c r="H839" s="1"/>
      <c r="I839" s="1"/>
      <c r="J839" s="1"/>
      <c r="K839" s="1"/>
      <c r="L839" s="1"/>
      <c r="M839" s="1"/>
      <c r="N839" s="1"/>
      <c r="O839" s="1"/>
      <c r="P839" s="1"/>
      <c r="Q839" s="1"/>
      <c r="R839" s="1"/>
      <c r="S839" s="1"/>
      <c r="T839" s="1"/>
      <c r="U839" s="1"/>
      <c r="V839" s="1"/>
      <c r="W839" s="1"/>
      <c r="X839" s="1"/>
      <c r="Y839" s="1"/>
    </row>
    <row r="840" spans="1:25">
      <c r="A840" s="9"/>
      <c r="B840" s="8"/>
      <c r="C840" s="114"/>
      <c r="D840" s="3"/>
      <c r="E840" s="3"/>
      <c r="F840" s="1"/>
      <c r="G840" s="1"/>
      <c r="H840" s="1"/>
      <c r="I840" s="1"/>
      <c r="J840" s="1"/>
      <c r="K840" s="1"/>
      <c r="L840" s="1"/>
      <c r="M840" s="1"/>
      <c r="N840" s="1"/>
      <c r="O840" s="1"/>
      <c r="P840" s="1"/>
      <c r="Q840" s="1"/>
      <c r="R840" s="1"/>
      <c r="S840" s="1"/>
      <c r="T840" s="1"/>
      <c r="U840" s="1"/>
      <c r="V840" s="1"/>
      <c r="W840" s="1"/>
      <c r="X840" s="1"/>
      <c r="Y840" s="1"/>
    </row>
    <row r="841" spans="1:25">
      <c r="A841" s="9"/>
      <c r="B841" s="8"/>
      <c r="C841" s="114"/>
      <c r="D841" s="3"/>
      <c r="E841" s="3"/>
      <c r="F841" s="1"/>
      <c r="G841" s="1"/>
      <c r="H841" s="1"/>
      <c r="I841" s="1"/>
      <c r="J841" s="1"/>
      <c r="K841" s="1"/>
      <c r="L841" s="1"/>
      <c r="M841" s="1"/>
      <c r="N841" s="1"/>
      <c r="O841" s="1"/>
      <c r="P841" s="1"/>
      <c r="Q841" s="1"/>
      <c r="R841" s="1"/>
      <c r="S841" s="1"/>
      <c r="T841" s="1"/>
      <c r="U841" s="1"/>
      <c r="V841" s="1"/>
      <c r="W841" s="1"/>
      <c r="X841" s="1"/>
      <c r="Y841" s="1"/>
    </row>
    <row r="842" spans="1:25">
      <c r="A842" s="9"/>
      <c r="B842" s="8"/>
      <c r="C842" s="114"/>
      <c r="D842" s="3"/>
      <c r="E842" s="3"/>
      <c r="F842" s="1"/>
      <c r="G842" s="1"/>
      <c r="H842" s="1"/>
      <c r="I842" s="1"/>
      <c r="J842" s="1"/>
      <c r="K842" s="1"/>
      <c r="L842" s="1"/>
      <c r="M842" s="1"/>
      <c r="N842" s="1"/>
      <c r="O842" s="1"/>
      <c r="P842" s="1"/>
      <c r="Q842" s="1"/>
      <c r="R842" s="1"/>
      <c r="S842" s="1"/>
      <c r="T842" s="1"/>
      <c r="U842" s="1"/>
      <c r="V842" s="1"/>
      <c r="W842" s="1"/>
      <c r="X842" s="1"/>
      <c r="Y842" s="1"/>
    </row>
    <row r="843" spans="1:25">
      <c r="A843" s="9"/>
      <c r="B843" s="8"/>
      <c r="C843" s="114"/>
      <c r="D843" s="3"/>
      <c r="E843" s="3"/>
      <c r="F843" s="1"/>
      <c r="G843" s="1"/>
      <c r="H843" s="1"/>
      <c r="I843" s="1"/>
      <c r="J843" s="1"/>
      <c r="K843" s="1"/>
      <c r="L843" s="1"/>
      <c r="M843" s="1"/>
      <c r="N843" s="1"/>
      <c r="O843" s="1"/>
      <c r="P843" s="1"/>
      <c r="Q843" s="1"/>
      <c r="R843" s="1"/>
      <c r="S843" s="1"/>
      <c r="T843" s="1"/>
      <c r="U843" s="1"/>
      <c r="V843" s="1"/>
      <c r="W843" s="1"/>
      <c r="X843" s="1"/>
      <c r="Y843" s="1"/>
    </row>
    <row r="844" spans="1:25">
      <c r="A844" s="9"/>
      <c r="B844" s="8"/>
      <c r="C844" s="114"/>
      <c r="D844" s="3"/>
      <c r="E844" s="3"/>
      <c r="F844" s="1"/>
      <c r="G844" s="1"/>
      <c r="H844" s="1"/>
      <c r="I844" s="1"/>
      <c r="J844" s="1"/>
      <c r="K844" s="1"/>
      <c r="L844" s="1"/>
      <c r="M844" s="1"/>
      <c r="N844" s="1"/>
      <c r="O844" s="1"/>
      <c r="P844" s="1"/>
      <c r="Q844" s="1"/>
      <c r="R844" s="1"/>
      <c r="S844" s="1"/>
      <c r="T844" s="1"/>
      <c r="U844" s="1"/>
      <c r="V844" s="1"/>
      <c r="W844" s="1"/>
      <c r="X844" s="1"/>
      <c r="Y844" s="1"/>
    </row>
    <row r="845" spans="1:25">
      <c r="A845" s="9"/>
      <c r="B845" s="8"/>
      <c r="C845" s="114"/>
      <c r="D845" s="3"/>
      <c r="E845" s="3"/>
      <c r="F845" s="1"/>
      <c r="G845" s="1"/>
      <c r="H845" s="1"/>
      <c r="I845" s="1"/>
      <c r="J845" s="1"/>
      <c r="K845" s="1"/>
      <c r="L845" s="1"/>
      <c r="M845" s="1"/>
      <c r="N845" s="1"/>
      <c r="O845" s="1"/>
      <c r="P845" s="1"/>
      <c r="Q845" s="1"/>
      <c r="R845" s="1"/>
      <c r="S845" s="1"/>
      <c r="T845" s="1"/>
      <c r="U845" s="1"/>
      <c r="V845" s="1"/>
      <c r="W845" s="1"/>
      <c r="X845" s="1"/>
      <c r="Y845" s="1"/>
    </row>
    <row r="846" spans="1:25">
      <c r="A846" s="9"/>
      <c r="B846" s="8"/>
      <c r="C846" s="114"/>
      <c r="D846" s="3"/>
      <c r="E846" s="3"/>
      <c r="F846" s="1"/>
      <c r="G846" s="1"/>
      <c r="H846" s="1"/>
      <c r="I846" s="1"/>
      <c r="J846" s="1"/>
      <c r="K846" s="1"/>
      <c r="L846" s="1"/>
      <c r="M846" s="1"/>
      <c r="N846" s="1"/>
      <c r="O846" s="1"/>
      <c r="P846" s="1"/>
      <c r="Q846" s="1"/>
      <c r="R846" s="1"/>
      <c r="S846" s="1"/>
      <c r="T846" s="1"/>
      <c r="U846" s="1"/>
      <c r="V846" s="1"/>
      <c r="W846" s="1"/>
      <c r="X846" s="1"/>
      <c r="Y846" s="1"/>
    </row>
    <row r="847" spans="1:25">
      <c r="A847" s="9"/>
      <c r="B847" s="8"/>
      <c r="C847" s="114"/>
      <c r="D847" s="3"/>
      <c r="E847" s="3"/>
      <c r="F847" s="1"/>
      <c r="G847" s="1"/>
      <c r="H847" s="1"/>
      <c r="I847" s="1"/>
      <c r="J847" s="1"/>
      <c r="K847" s="1"/>
      <c r="L847" s="1"/>
      <c r="M847" s="1"/>
      <c r="N847" s="1"/>
      <c r="O847" s="1"/>
      <c r="P847" s="1"/>
      <c r="Q847" s="1"/>
      <c r="R847" s="1"/>
      <c r="S847" s="1"/>
      <c r="T847" s="1"/>
      <c r="U847" s="1"/>
      <c r="V847" s="1"/>
      <c r="W847" s="1"/>
      <c r="X847" s="1"/>
      <c r="Y847" s="1"/>
    </row>
    <row r="848" spans="1:25">
      <c r="A848" s="9"/>
      <c r="B848" s="8"/>
      <c r="C848" s="114"/>
      <c r="D848" s="3"/>
      <c r="E848" s="3"/>
      <c r="F848" s="1"/>
      <c r="G848" s="1"/>
      <c r="H848" s="1"/>
      <c r="I848" s="1"/>
      <c r="J848" s="1"/>
      <c r="K848" s="1"/>
      <c r="L848" s="1"/>
      <c r="M848" s="1"/>
      <c r="N848" s="1"/>
      <c r="O848" s="1"/>
      <c r="P848" s="1"/>
      <c r="Q848" s="1"/>
      <c r="R848" s="1"/>
      <c r="S848" s="1"/>
      <c r="T848" s="1"/>
      <c r="U848" s="1"/>
      <c r="V848" s="1"/>
      <c r="W848" s="1"/>
      <c r="X848" s="1"/>
      <c r="Y848" s="1"/>
    </row>
    <row r="849" spans="1:25">
      <c r="A849" s="9"/>
      <c r="B849" s="8"/>
      <c r="C849" s="114"/>
      <c r="D849" s="3"/>
      <c r="E849" s="3"/>
      <c r="F849" s="1"/>
      <c r="G849" s="1"/>
      <c r="H849" s="1"/>
      <c r="I849" s="1"/>
      <c r="J849" s="1"/>
      <c r="K849" s="1"/>
      <c r="L849" s="1"/>
      <c r="M849" s="1"/>
      <c r="N849" s="1"/>
      <c r="O849" s="1"/>
      <c r="P849" s="1"/>
      <c r="Q849" s="1"/>
      <c r="R849" s="1"/>
      <c r="S849" s="1"/>
      <c r="T849" s="1"/>
      <c r="U849" s="1"/>
      <c r="V849" s="1"/>
      <c r="W849" s="1"/>
      <c r="X849" s="1"/>
      <c r="Y849" s="1"/>
    </row>
    <row r="850" spans="1:25">
      <c r="A850" s="9"/>
      <c r="B850" s="8"/>
      <c r="C850" s="114"/>
      <c r="D850" s="3"/>
      <c r="E850" s="3"/>
      <c r="F850" s="1"/>
      <c r="G850" s="1"/>
      <c r="H850" s="1"/>
      <c r="I850" s="1"/>
      <c r="J850" s="1"/>
      <c r="K850" s="1"/>
      <c r="L850" s="1"/>
      <c r="M850" s="1"/>
      <c r="N850" s="1"/>
      <c r="O850" s="1"/>
      <c r="P850" s="1"/>
      <c r="Q850" s="1"/>
      <c r="R850" s="1"/>
      <c r="S850" s="1"/>
      <c r="T850" s="1"/>
      <c r="U850" s="1"/>
      <c r="V850" s="1"/>
      <c r="W850" s="1"/>
      <c r="X850" s="1"/>
      <c r="Y850" s="1"/>
    </row>
    <row r="851" spans="1:25">
      <c r="A851" s="9"/>
      <c r="B851" s="8"/>
      <c r="C851" s="114"/>
      <c r="D851" s="3"/>
      <c r="E851" s="3"/>
      <c r="F851" s="1"/>
      <c r="G851" s="1"/>
      <c r="H851" s="1"/>
      <c r="I851" s="1"/>
      <c r="J851" s="1"/>
      <c r="K851" s="1"/>
      <c r="L851" s="1"/>
      <c r="M851" s="1"/>
      <c r="N851" s="1"/>
      <c r="O851" s="1"/>
      <c r="P851" s="1"/>
      <c r="Q851" s="1"/>
      <c r="R851" s="1"/>
      <c r="S851" s="1"/>
      <c r="T851" s="1"/>
      <c r="U851" s="1"/>
      <c r="V851" s="1"/>
      <c r="W851" s="1"/>
      <c r="X851" s="1"/>
      <c r="Y851" s="1"/>
    </row>
    <row r="852" spans="1:25">
      <c r="A852" s="9"/>
      <c r="B852" s="8"/>
      <c r="C852" s="114"/>
      <c r="D852" s="3"/>
      <c r="E852" s="3"/>
      <c r="F852" s="1"/>
      <c r="G852" s="1"/>
      <c r="H852" s="1"/>
      <c r="I852" s="1"/>
      <c r="J852" s="1"/>
      <c r="K852" s="1"/>
      <c r="L852" s="1"/>
      <c r="M852" s="1"/>
      <c r="N852" s="1"/>
      <c r="O852" s="1"/>
      <c r="P852" s="1"/>
      <c r="Q852" s="1"/>
      <c r="R852" s="1"/>
      <c r="S852" s="1"/>
      <c r="T852" s="1"/>
      <c r="U852" s="1"/>
      <c r="V852" s="1"/>
      <c r="W852" s="1"/>
      <c r="X852" s="1"/>
      <c r="Y852" s="1"/>
    </row>
    <row r="853" spans="1:25">
      <c r="A853" s="9"/>
      <c r="B853" s="8"/>
      <c r="C853" s="114"/>
      <c r="D853" s="3"/>
      <c r="E853" s="3"/>
      <c r="F853" s="1"/>
      <c r="G853" s="1"/>
      <c r="H853" s="1"/>
      <c r="I853" s="1"/>
      <c r="J853" s="1"/>
      <c r="K853" s="1"/>
      <c r="L853" s="1"/>
      <c r="M853" s="1"/>
      <c r="N853" s="1"/>
      <c r="O853" s="1"/>
      <c r="P853" s="1"/>
      <c r="Q853" s="1"/>
      <c r="R853" s="1"/>
      <c r="S853" s="1"/>
      <c r="T853" s="1"/>
      <c r="U853" s="1"/>
      <c r="V853" s="1"/>
      <c r="W853" s="1"/>
      <c r="X853" s="1"/>
      <c r="Y853" s="1"/>
    </row>
    <row r="854" spans="1:25">
      <c r="A854" s="9"/>
      <c r="B854" s="8"/>
      <c r="C854" s="114"/>
      <c r="D854" s="3"/>
      <c r="E854" s="3"/>
      <c r="F854" s="1"/>
      <c r="G854" s="1"/>
      <c r="H854" s="1"/>
      <c r="I854" s="1"/>
      <c r="J854" s="1"/>
      <c r="K854" s="1"/>
      <c r="L854" s="1"/>
      <c r="M854" s="1"/>
      <c r="N854" s="1"/>
      <c r="O854" s="1"/>
      <c r="P854" s="1"/>
      <c r="Q854" s="1"/>
      <c r="R854" s="1"/>
      <c r="S854" s="1"/>
      <c r="T854" s="1"/>
      <c r="U854" s="1"/>
      <c r="V854" s="1"/>
      <c r="W854" s="1"/>
      <c r="X854" s="1"/>
      <c r="Y854" s="1"/>
    </row>
    <row r="855" spans="1:25">
      <c r="A855" s="9"/>
      <c r="B855" s="8"/>
      <c r="C855" s="114"/>
      <c r="D855" s="3"/>
      <c r="E855" s="3"/>
      <c r="F855" s="1"/>
      <c r="G855" s="1"/>
      <c r="H855" s="1"/>
      <c r="I855" s="1"/>
      <c r="J855" s="1"/>
      <c r="K855" s="1"/>
      <c r="L855" s="1"/>
      <c r="M855" s="1"/>
      <c r="N855" s="1"/>
      <c r="O855" s="1"/>
      <c r="P855" s="1"/>
      <c r="Q855" s="1"/>
      <c r="R855" s="1"/>
      <c r="S855" s="1"/>
      <c r="T855" s="1"/>
      <c r="U855" s="1"/>
      <c r="V855" s="1"/>
      <c r="W855" s="1"/>
      <c r="X855" s="1"/>
      <c r="Y855" s="1"/>
    </row>
    <row r="856" spans="1:25">
      <c r="A856" s="9"/>
      <c r="B856" s="8"/>
      <c r="C856" s="114"/>
      <c r="D856" s="3"/>
      <c r="E856" s="3"/>
      <c r="F856" s="1"/>
      <c r="G856" s="1"/>
      <c r="H856" s="1"/>
      <c r="I856" s="1"/>
      <c r="J856" s="1"/>
      <c r="K856" s="1"/>
      <c r="L856" s="1"/>
      <c r="M856" s="1"/>
      <c r="N856" s="1"/>
      <c r="O856" s="1"/>
      <c r="P856" s="1"/>
      <c r="Q856" s="1"/>
      <c r="R856" s="1"/>
      <c r="S856" s="1"/>
      <c r="T856" s="1"/>
      <c r="U856" s="1"/>
      <c r="V856" s="1"/>
      <c r="W856" s="1"/>
      <c r="X856" s="1"/>
      <c r="Y856" s="1"/>
    </row>
    <row r="857" spans="1:25">
      <c r="A857" s="9"/>
      <c r="B857" s="8"/>
      <c r="C857" s="114"/>
      <c r="D857" s="3"/>
      <c r="E857" s="3"/>
      <c r="F857" s="1"/>
      <c r="G857" s="1"/>
      <c r="H857" s="1"/>
      <c r="I857" s="1"/>
      <c r="J857" s="1"/>
      <c r="K857" s="1"/>
      <c r="L857" s="1"/>
      <c r="M857" s="1"/>
      <c r="N857" s="1"/>
      <c r="O857" s="1"/>
      <c r="P857" s="1"/>
      <c r="Q857" s="1"/>
      <c r="R857" s="1"/>
      <c r="S857" s="1"/>
      <c r="T857" s="1"/>
      <c r="U857" s="1"/>
      <c r="V857" s="1"/>
      <c r="W857" s="1"/>
      <c r="X857" s="1"/>
      <c r="Y857" s="1"/>
    </row>
    <row r="858" spans="1:25">
      <c r="A858" s="9"/>
      <c r="B858" s="8"/>
      <c r="C858" s="114"/>
      <c r="D858" s="3"/>
      <c r="E858" s="3"/>
      <c r="F858" s="1"/>
      <c r="G858" s="1"/>
      <c r="H858" s="1"/>
      <c r="I858" s="1"/>
      <c r="J858" s="1"/>
      <c r="K858" s="1"/>
      <c r="L858" s="1"/>
      <c r="M858" s="1"/>
      <c r="N858" s="1"/>
      <c r="O858" s="1"/>
      <c r="P858" s="1"/>
      <c r="Q858" s="1"/>
      <c r="R858" s="1"/>
      <c r="S858" s="1"/>
      <c r="T858" s="1"/>
      <c r="U858" s="1"/>
      <c r="V858" s="1"/>
      <c r="W858" s="1"/>
      <c r="X858" s="1"/>
      <c r="Y858" s="1"/>
    </row>
    <row r="859" spans="1:25">
      <c r="A859" s="9"/>
      <c r="B859" s="8"/>
      <c r="C859" s="114"/>
      <c r="D859" s="3"/>
      <c r="E859" s="3"/>
      <c r="F859" s="1"/>
      <c r="G859" s="1"/>
      <c r="H859" s="1"/>
      <c r="I859" s="1"/>
      <c r="J859" s="1"/>
      <c r="K859" s="1"/>
      <c r="L859" s="1"/>
      <c r="M859" s="1"/>
      <c r="N859" s="1"/>
      <c r="O859" s="1"/>
      <c r="P859" s="1"/>
      <c r="Q859" s="1"/>
      <c r="R859" s="1"/>
      <c r="S859" s="1"/>
      <c r="T859" s="1"/>
      <c r="U859" s="1"/>
      <c r="V859" s="1"/>
      <c r="W859" s="1"/>
      <c r="X859" s="1"/>
      <c r="Y859" s="1"/>
    </row>
    <row r="860" spans="1:25">
      <c r="A860" s="9"/>
      <c r="B860" s="8"/>
      <c r="C860" s="114"/>
      <c r="D860" s="3"/>
      <c r="E860" s="3"/>
      <c r="F860" s="1"/>
      <c r="G860" s="1"/>
      <c r="H860" s="1"/>
      <c r="I860" s="1"/>
      <c r="J860" s="1"/>
      <c r="K860" s="1"/>
      <c r="L860" s="1"/>
      <c r="M860" s="1"/>
      <c r="N860" s="1"/>
      <c r="O860" s="1"/>
      <c r="P860" s="1"/>
      <c r="Q860" s="1"/>
      <c r="R860" s="1"/>
      <c r="S860" s="1"/>
      <c r="T860" s="1"/>
      <c r="U860" s="1"/>
      <c r="V860" s="1"/>
      <c r="W860" s="1"/>
      <c r="X860" s="1"/>
      <c r="Y860" s="1"/>
    </row>
    <row r="861" spans="1:25">
      <c r="A861" s="9"/>
      <c r="B861" s="8"/>
      <c r="C861" s="114"/>
      <c r="D861" s="3"/>
      <c r="E861" s="3"/>
      <c r="F861" s="1"/>
      <c r="G861" s="1"/>
      <c r="H861" s="1"/>
      <c r="I861" s="1"/>
      <c r="J861" s="1"/>
      <c r="K861" s="1"/>
      <c r="L861" s="1"/>
      <c r="M861" s="1"/>
      <c r="N861" s="1"/>
      <c r="O861" s="1"/>
      <c r="P861" s="1"/>
      <c r="Q861" s="1"/>
      <c r="R861" s="1"/>
      <c r="S861" s="1"/>
      <c r="T861" s="1"/>
      <c r="U861" s="1"/>
      <c r="V861" s="1"/>
      <c r="W861" s="1"/>
      <c r="X861" s="1"/>
      <c r="Y861" s="1"/>
    </row>
    <row r="862" spans="1:25">
      <c r="A862" s="9"/>
      <c r="B862" s="8"/>
      <c r="C862" s="114"/>
      <c r="D862" s="3"/>
      <c r="E862" s="3"/>
      <c r="F862" s="1"/>
      <c r="G862" s="1"/>
      <c r="H862" s="1"/>
      <c r="I862" s="1"/>
      <c r="J862" s="1"/>
      <c r="K862" s="1"/>
      <c r="L862" s="1"/>
      <c r="M862" s="1"/>
      <c r="N862" s="1"/>
      <c r="O862" s="1"/>
      <c r="P862" s="1"/>
      <c r="Q862" s="1"/>
      <c r="R862" s="1"/>
      <c r="S862" s="1"/>
      <c r="T862" s="1"/>
      <c r="U862" s="1"/>
      <c r="V862" s="1"/>
      <c r="W862" s="1"/>
      <c r="X862" s="1"/>
      <c r="Y862" s="1"/>
    </row>
    <row r="863" spans="1:25">
      <c r="A863" s="9"/>
      <c r="B863" s="8"/>
      <c r="C863" s="114"/>
      <c r="D863" s="3"/>
      <c r="E863" s="3"/>
      <c r="F863" s="1"/>
      <c r="G863" s="1"/>
      <c r="H863" s="1"/>
      <c r="I863" s="1"/>
      <c r="J863" s="1"/>
      <c r="K863" s="1"/>
      <c r="L863" s="1"/>
      <c r="M863" s="1"/>
      <c r="N863" s="1"/>
      <c r="O863" s="1"/>
      <c r="P863" s="1"/>
      <c r="Q863" s="1"/>
      <c r="R863" s="1"/>
      <c r="S863" s="1"/>
      <c r="T863" s="1"/>
      <c r="U863" s="1"/>
      <c r="V863" s="1"/>
      <c r="W863" s="1"/>
      <c r="X863" s="1"/>
      <c r="Y863" s="1"/>
    </row>
    <row r="864" spans="1:25">
      <c r="A864" s="9"/>
      <c r="B864" s="8"/>
      <c r="C864" s="114"/>
      <c r="D864" s="3"/>
      <c r="E864" s="3"/>
      <c r="F864" s="1"/>
      <c r="G864" s="1"/>
      <c r="H864" s="1"/>
      <c r="I864" s="1"/>
      <c r="J864" s="1"/>
      <c r="K864" s="1"/>
      <c r="L864" s="1"/>
      <c r="M864" s="1"/>
      <c r="N864" s="1"/>
      <c r="O864" s="1"/>
      <c r="P864" s="1"/>
      <c r="Q864" s="1"/>
      <c r="R864" s="1"/>
      <c r="S864" s="1"/>
      <c r="T864" s="1"/>
      <c r="U864" s="1"/>
      <c r="V864" s="1"/>
      <c r="W864" s="1"/>
      <c r="X864" s="1"/>
      <c r="Y864" s="1"/>
    </row>
    <row r="865" spans="1:25">
      <c r="A865" s="9"/>
      <c r="B865" s="8"/>
      <c r="C865" s="114"/>
      <c r="D865" s="3"/>
      <c r="E865" s="3"/>
      <c r="F865" s="1"/>
      <c r="G865" s="1"/>
      <c r="H865" s="1"/>
      <c r="I865" s="1"/>
      <c r="J865" s="1"/>
      <c r="K865" s="1"/>
      <c r="L865" s="1"/>
      <c r="M865" s="1"/>
      <c r="N865" s="1"/>
      <c r="O865" s="1"/>
      <c r="P865" s="1"/>
      <c r="Q865" s="1"/>
      <c r="R865" s="1"/>
      <c r="S865" s="1"/>
      <c r="T865" s="1"/>
      <c r="U865" s="1"/>
      <c r="V865" s="1"/>
      <c r="W865" s="1"/>
      <c r="X865" s="1"/>
      <c r="Y865" s="1"/>
    </row>
    <row r="866" spans="1:25">
      <c r="A866" s="9"/>
      <c r="B866" s="8"/>
      <c r="C866" s="114"/>
      <c r="D866" s="3"/>
      <c r="E866" s="3"/>
      <c r="F866" s="1"/>
      <c r="G866" s="1"/>
      <c r="H866" s="1"/>
      <c r="I866" s="1"/>
      <c r="J866" s="1"/>
      <c r="K866" s="1"/>
      <c r="L866" s="1"/>
      <c r="M866" s="1"/>
      <c r="N866" s="1"/>
      <c r="O866" s="1"/>
      <c r="P866" s="1"/>
      <c r="Q866" s="1"/>
      <c r="R866" s="1"/>
      <c r="S866" s="1"/>
      <c r="T866" s="1"/>
      <c r="U866" s="1"/>
      <c r="V866" s="1"/>
      <c r="W866" s="1"/>
      <c r="X866" s="1"/>
      <c r="Y866" s="1"/>
    </row>
    <row r="867" spans="1:25">
      <c r="A867" s="9"/>
      <c r="B867" s="8"/>
      <c r="C867" s="114"/>
      <c r="D867" s="3"/>
      <c r="E867" s="3"/>
      <c r="F867" s="1"/>
      <c r="G867" s="1"/>
      <c r="H867" s="1"/>
      <c r="I867" s="1"/>
      <c r="J867" s="1"/>
      <c r="K867" s="1"/>
      <c r="L867" s="1"/>
      <c r="M867" s="1"/>
      <c r="N867" s="1"/>
      <c r="O867" s="1"/>
      <c r="P867" s="1"/>
      <c r="Q867" s="1"/>
      <c r="R867" s="1"/>
      <c r="S867" s="1"/>
      <c r="T867" s="1"/>
      <c r="U867" s="1"/>
      <c r="V867" s="1"/>
      <c r="W867" s="1"/>
      <c r="X867" s="1"/>
      <c r="Y867" s="1"/>
    </row>
    <row r="868" spans="1:25">
      <c r="A868" s="9"/>
      <c r="B868" s="8"/>
      <c r="C868" s="114"/>
      <c r="D868" s="3"/>
      <c r="E868" s="3"/>
      <c r="F868" s="1"/>
      <c r="G868" s="1"/>
      <c r="H868" s="1"/>
      <c r="I868" s="1"/>
      <c r="J868" s="1"/>
      <c r="K868" s="1"/>
      <c r="L868" s="1"/>
      <c r="M868" s="1"/>
      <c r="N868" s="1"/>
      <c r="O868" s="1"/>
      <c r="P868" s="1"/>
      <c r="Q868" s="1"/>
      <c r="R868" s="1"/>
      <c r="S868" s="1"/>
      <c r="T868" s="1"/>
      <c r="U868" s="1"/>
      <c r="V868" s="1"/>
      <c r="W868" s="1"/>
      <c r="X868" s="1"/>
      <c r="Y868" s="1"/>
    </row>
    <row r="869" spans="1:25">
      <c r="A869" s="9"/>
      <c r="B869" s="8"/>
      <c r="C869" s="114"/>
      <c r="D869" s="3"/>
      <c r="E869" s="3"/>
      <c r="F869" s="1"/>
      <c r="G869" s="1"/>
      <c r="H869" s="1"/>
      <c r="I869" s="1"/>
      <c r="J869" s="1"/>
      <c r="K869" s="1"/>
      <c r="L869" s="1"/>
      <c r="M869" s="1"/>
      <c r="N869" s="1"/>
      <c r="O869" s="1"/>
      <c r="P869" s="1"/>
      <c r="Q869" s="1"/>
      <c r="R869" s="1"/>
      <c r="S869" s="1"/>
      <c r="T869" s="1"/>
      <c r="U869" s="1"/>
      <c r="V869" s="1"/>
      <c r="W869" s="1"/>
      <c r="X869" s="1"/>
      <c r="Y869" s="1"/>
    </row>
    <row r="870" spans="1:25">
      <c r="A870" s="9"/>
      <c r="B870" s="8"/>
      <c r="C870" s="114"/>
      <c r="D870" s="3"/>
      <c r="E870" s="3"/>
      <c r="F870" s="1"/>
      <c r="G870" s="1"/>
      <c r="H870" s="1"/>
      <c r="I870" s="1"/>
      <c r="J870" s="1"/>
      <c r="K870" s="1"/>
      <c r="L870" s="1"/>
      <c r="M870" s="1"/>
      <c r="N870" s="1"/>
      <c r="O870" s="1"/>
      <c r="P870" s="1"/>
      <c r="Q870" s="1"/>
      <c r="R870" s="1"/>
      <c r="S870" s="1"/>
      <c r="T870" s="1"/>
      <c r="U870" s="1"/>
      <c r="V870" s="1"/>
      <c r="W870" s="1"/>
      <c r="X870" s="1"/>
      <c r="Y870" s="1"/>
    </row>
    <row r="871" spans="1:25">
      <c r="A871" s="9"/>
      <c r="B871" s="8"/>
      <c r="C871" s="114"/>
      <c r="D871" s="3"/>
      <c r="E871" s="3"/>
      <c r="F871" s="1"/>
      <c r="G871" s="1"/>
      <c r="H871" s="1"/>
      <c r="I871" s="1"/>
      <c r="J871" s="1"/>
      <c r="K871" s="1"/>
      <c r="L871" s="1"/>
      <c r="M871" s="1"/>
      <c r="N871" s="1"/>
      <c r="O871" s="1"/>
      <c r="P871" s="1"/>
      <c r="Q871" s="1"/>
      <c r="R871" s="1"/>
      <c r="S871" s="1"/>
      <c r="T871" s="1"/>
      <c r="U871" s="1"/>
      <c r="V871" s="1"/>
      <c r="W871" s="1"/>
      <c r="X871" s="1"/>
      <c r="Y871" s="1"/>
    </row>
    <row r="872" spans="1:25">
      <c r="A872" s="9"/>
      <c r="B872" s="8"/>
      <c r="C872" s="114"/>
      <c r="D872" s="3"/>
      <c r="E872" s="3"/>
      <c r="F872" s="1"/>
      <c r="G872" s="1"/>
      <c r="H872" s="1"/>
      <c r="I872" s="1"/>
      <c r="J872" s="1"/>
      <c r="K872" s="1"/>
      <c r="L872" s="1"/>
      <c r="M872" s="1"/>
      <c r="N872" s="1"/>
      <c r="O872" s="1"/>
      <c r="P872" s="1"/>
      <c r="Q872" s="1"/>
      <c r="R872" s="1"/>
      <c r="S872" s="1"/>
      <c r="T872" s="1"/>
      <c r="U872" s="1"/>
      <c r="V872" s="1"/>
      <c r="W872" s="1"/>
      <c r="X872" s="1"/>
      <c r="Y872" s="1"/>
    </row>
    <row r="873" spans="1:25">
      <c r="A873" s="9"/>
      <c r="B873" s="8"/>
      <c r="C873" s="114"/>
      <c r="D873" s="3"/>
      <c r="E873" s="3"/>
      <c r="F873" s="1"/>
      <c r="G873" s="1"/>
      <c r="H873" s="1"/>
      <c r="I873" s="1"/>
      <c r="J873" s="1"/>
      <c r="K873" s="1"/>
      <c r="L873" s="1"/>
      <c r="M873" s="1"/>
      <c r="N873" s="1"/>
      <c r="O873" s="1"/>
      <c r="P873" s="1"/>
      <c r="Q873" s="1"/>
      <c r="R873" s="1"/>
      <c r="S873" s="1"/>
      <c r="T873" s="1"/>
      <c r="U873" s="1"/>
      <c r="V873" s="1"/>
      <c r="W873" s="1"/>
      <c r="X873" s="1"/>
      <c r="Y873" s="1"/>
    </row>
    <row r="874" spans="1:25">
      <c r="A874" s="9"/>
      <c r="B874" s="8"/>
      <c r="C874" s="114"/>
      <c r="D874" s="3"/>
      <c r="E874" s="3"/>
      <c r="F874" s="1"/>
      <c r="G874" s="1"/>
      <c r="H874" s="1"/>
      <c r="I874" s="1"/>
      <c r="J874" s="1"/>
      <c r="K874" s="1"/>
      <c r="L874" s="1"/>
      <c r="M874" s="1"/>
      <c r="N874" s="1"/>
      <c r="O874" s="1"/>
      <c r="P874" s="1"/>
      <c r="Q874" s="1"/>
      <c r="R874" s="1"/>
      <c r="S874" s="1"/>
      <c r="T874" s="1"/>
      <c r="U874" s="1"/>
      <c r="V874" s="1"/>
      <c r="W874" s="1"/>
      <c r="X874" s="1"/>
      <c r="Y874" s="1"/>
    </row>
    <row r="875" spans="1:25">
      <c r="A875" s="9"/>
      <c r="B875" s="8"/>
      <c r="C875" s="114"/>
      <c r="D875" s="3"/>
      <c r="E875" s="3"/>
      <c r="F875" s="1"/>
      <c r="G875" s="1"/>
      <c r="H875" s="1"/>
      <c r="I875" s="1"/>
      <c r="J875" s="1"/>
      <c r="K875" s="1"/>
      <c r="L875" s="1"/>
      <c r="M875" s="1"/>
      <c r="N875" s="1"/>
      <c r="O875" s="1"/>
      <c r="P875" s="1"/>
      <c r="Q875" s="1"/>
      <c r="R875" s="1"/>
      <c r="S875" s="1"/>
      <c r="T875" s="1"/>
      <c r="U875" s="1"/>
      <c r="V875" s="1"/>
      <c r="W875" s="1"/>
      <c r="X875" s="1"/>
      <c r="Y875" s="1"/>
    </row>
    <row r="876" spans="1:25">
      <c r="A876" s="9"/>
      <c r="B876" s="8"/>
      <c r="C876" s="114"/>
      <c r="D876" s="3"/>
      <c r="E876" s="3"/>
      <c r="F876" s="1"/>
      <c r="G876" s="1"/>
      <c r="H876" s="1"/>
      <c r="I876" s="1"/>
      <c r="J876" s="1"/>
      <c r="K876" s="1"/>
      <c r="L876" s="1"/>
      <c r="M876" s="1"/>
      <c r="N876" s="1"/>
      <c r="O876" s="1"/>
      <c r="P876" s="1"/>
      <c r="Q876" s="1"/>
      <c r="R876" s="1"/>
      <c r="S876" s="1"/>
      <c r="T876" s="1"/>
      <c r="U876" s="1"/>
      <c r="V876" s="1"/>
      <c r="W876" s="1"/>
      <c r="X876" s="1"/>
      <c r="Y876" s="1"/>
    </row>
    <row r="877" spans="1:25">
      <c r="A877" s="9"/>
      <c r="B877" s="8"/>
      <c r="C877" s="114"/>
      <c r="D877" s="3"/>
      <c r="E877" s="3"/>
      <c r="F877" s="1"/>
      <c r="G877" s="1"/>
      <c r="H877" s="1"/>
      <c r="I877" s="1"/>
      <c r="J877" s="1"/>
      <c r="K877" s="1"/>
      <c r="L877" s="1"/>
      <c r="M877" s="1"/>
      <c r="N877" s="1"/>
      <c r="O877" s="1"/>
      <c r="P877" s="1"/>
      <c r="Q877" s="1"/>
      <c r="R877" s="1"/>
      <c r="S877" s="1"/>
      <c r="T877" s="1"/>
      <c r="U877" s="1"/>
      <c r="V877" s="1"/>
      <c r="W877" s="1"/>
      <c r="X877" s="1"/>
      <c r="Y877" s="1"/>
    </row>
    <row r="878" spans="1:25">
      <c r="A878" s="9"/>
      <c r="B878" s="8"/>
      <c r="C878" s="114"/>
      <c r="D878" s="3"/>
      <c r="E878" s="3"/>
      <c r="F878" s="1"/>
      <c r="G878" s="1"/>
      <c r="H878" s="1"/>
      <c r="I878" s="1"/>
      <c r="J878" s="1"/>
      <c r="K878" s="1"/>
      <c r="L878" s="1"/>
      <c r="M878" s="1"/>
      <c r="N878" s="1"/>
      <c r="O878" s="1"/>
      <c r="P878" s="1"/>
      <c r="Q878" s="1"/>
      <c r="R878" s="1"/>
      <c r="S878" s="1"/>
      <c r="T878" s="1"/>
      <c r="U878" s="1"/>
      <c r="V878" s="1"/>
      <c r="W878" s="1"/>
      <c r="X878" s="1"/>
      <c r="Y878" s="1"/>
    </row>
    <row r="879" spans="1:25">
      <c r="A879" s="9"/>
      <c r="B879" s="8"/>
      <c r="C879" s="114"/>
      <c r="D879" s="3"/>
      <c r="E879" s="3"/>
      <c r="F879" s="1"/>
      <c r="G879" s="1"/>
      <c r="H879" s="1"/>
      <c r="I879" s="1"/>
      <c r="J879" s="1"/>
      <c r="K879" s="1"/>
      <c r="L879" s="1"/>
      <c r="M879" s="1"/>
      <c r="N879" s="1"/>
      <c r="O879" s="1"/>
      <c r="P879" s="1"/>
      <c r="Q879" s="1"/>
      <c r="R879" s="1"/>
      <c r="S879" s="1"/>
      <c r="T879" s="1"/>
      <c r="U879" s="1"/>
      <c r="V879" s="1"/>
      <c r="W879" s="1"/>
      <c r="X879" s="1"/>
      <c r="Y879" s="1"/>
    </row>
    <row r="880" spans="1:25">
      <c r="A880" s="9"/>
      <c r="B880" s="8"/>
      <c r="C880" s="114"/>
      <c r="D880" s="3"/>
      <c r="E880" s="3"/>
      <c r="F880" s="1"/>
      <c r="G880" s="1"/>
      <c r="H880" s="1"/>
      <c r="I880" s="1"/>
      <c r="J880" s="1"/>
      <c r="K880" s="1"/>
      <c r="L880" s="1"/>
      <c r="M880" s="1"/>
      <c r="N880" s="1"/>
      <c r="O880" s="1"/>
      <c r="P880" s="1"/>
      <c r="Q880" s="1"/>
      <c r="R880" s="1"/>
      <c r="S880" s="1"/>
      <c r="T880" s="1"/>
      <c r="U880" s="1"/>
      <c r="V880" s="1"/>
      <c r="W880" s="1"/>
      <c r="X880" s="1"/>
      <c r="Y880" s="1"/>
    </row>
    <row r="881" spans="1:25">
      <c r="A881" s="9"/>
      <c r="B881" s="8"/>
      <c r="C881" s="114"/>
      <c r="D881" s="3"/>
      <c r="E881" s="3"/>
      <c r="F881" s="1"/>
      <c r="G881" s="1"/>
      <c r="H881" s="1"/>
      <c r="I881" s="1"/>
      <c r="J881" s="1"/>
      <c r="K881" s="1"/>
      <c r="L881" s="1"/>
      <c r="M881" s="1"/>
      <c r="N881" s="1"/>
      <c r="O881" s="1"/>
      <c r="P881" s="1"/>
      <c r="Q881" s="1"/>
      <c r="R881" s="1"/>
      <c r="S881" s="1"/>
      <c r="T881" s="1"/>
      <c r="U881" s="1"/>
      <c r="V881" s="1"/>
      <c r="W881" s="1"/>
      <c r="X881" s="1"/>
      <c r="Y881" s="1"/>
    </row>
    <row r="882" spans="1:25">
      <c r="A882" s="9"/>
      <c r="B882" s="8"/>
      <c r="C882" s="114"/>
      <c r="D882" s="3"/>
      <c r="E882" s="3"/>
      <c r="F882" s="1"/>
      <c r="G882" s="1"/>
      <c r="H882" s="1"/>
      <c r="I882" s="1"/>
      <c r="J882" s="1"/>
      <c r="K882" s="1"/>
      <c r="L882" s="1"/>
      <c r="M882" s="1"/>
      <c r="N882" s="1"/>
      <c r="O882" s="1"/>
      <c r="P882" s="1"/>
      <c r="Q882" s="1"/>
      <c r="R882" s="1"/>
      <c r="S882" s="1"/>
      <c r="T882" s="1"/>
      <c r="U882" s="1"/>
      <c r="V882" s="1"/>
      <c r="W882" s="1"/>
      <c r="X882" s="1"/>
      <c r="Y882" s="1"/>
    </row>
    <row r="883" spans="1:25">
      <c r="A883" s="9"/>
      <c r="B883" s="8"/>
      <c r="C883" s="114"/>
      <c r="D883" s="3"/>
      <c r="E883" s="3"/>
      <c r="F883" s="1"/>
      <c r="G883" s="1"/>
      <c r="H883" s="1"/>
      <c r="I883" s="1"/>
      <c r="J883" s="1"/>
      <c r="K883" s="1"/>
      <c r="L883" s="1"/>
      <c r="M883" s="1"/>
      <c r="N883" s="1"/>
      <c r="O883" s="1"/>
      <c r="P883" s="1"/>
      <c r="Q883" s="1"/>
      <c r="R883" s="1"/>
      <c r="S883" s="1"/>
      <c r="T883" s="1"/>
      <c r="U883" s="1"/>
      <c r="V883" s="1"/>
      <c r="W883" s="1"/>
      <c r="X883" s="1"/>
      <c r="Y883" s="1"/>
    </row>
    <row r="884" spans="1:25">
      <c r="A884" s="9"/>
      <c r="B884" s="8"/>
      <c r="C884" s="114"/>
      <c r="D884" s="3"/>
      <c r="E884" s="3"/>
      <c r="F884" s="1"/>
      <c r="G884" s="1"/>
      <c r="H884" s="1"/>
      <c r="I884" s="1"/>
      <c r="J884" s="1"/>
      <c r="K884" s="1"/>
      <c r="L884" s="1"/>
      <c r="M884" s="1"/>
      <c r="N884" s="1"/>
      <c r="O884" s="1"/>
      <c r="P884" s="1"/>
      <c r="Q884" s="1"/>
      <c r="R884" s="1"/>
      <c r="S884" s="1"/>
      <c r="T884" s="1"/>
      <c r="U884" s="1"/>
      <c r="V884" s="1"/>
      <c r="W884" s="1"/>
      <c r="X884" s="1"/>
      <c r="Y884" s="1"/>
    </row>
    <row r="885" spans="1:25">
      <c r="A885" s="9"/>
      <c r="B885" s="8"/>
      <c r="C885" s="114"/>
      <c r="D885" s="3"/>
      <c r="E885" s="3"/>
      <c r="F885" s="1"/>
      <c r="G885" s="1"/>
      <c r="H885" s="1"/>
      <c r="I885" s="1"/>
      <c r="J885" s="1"/>
      <c r="K885" s="1"/>
      <c r="L885" s="1"/>
      <c r="M885" s="1"/>
      <c r="N885" s="1"/>
      <c r="O885" s="1"/>
      <c r="P885" s="1"/>
      <c r="Q885" s="1"/>
      <c r="R885" s="1"/>
      <c r="S885" s="1"/>
      <c r="T885" s="1"/>
      <c r="U885" s="1"/>
      <c r="V885" s="1"/>
      <c r="W885" s="1"/>
      <c r="X885" s="1"/>
      <c r="Y885" s="1"/>
    </row>
    <row r="886" spans="1:25">
      <c r="A886" s="9"/>
      <c r="B886" s="8"/>
      <c r="C886" s="114"/>
      <c r="D886" s="3"/>
      <c r="E886" s="3"/>
      <c r="F886" s="1"/>
      <c r="G886" s="1"/>
      <c r="H886" s="1"/>
      <c r="I886" s="1"/>
      <c r="J886" s="1"/>
      <c r="K886" s="1"/>
      <c r="L886" s="1"/>
      <c r="M886" s="1"/>
      <c r="N886" s="1"/>
      <c r="O886" s="1"/>
      <c r="P886" s="1"/>
      <c r="Q886" s="1"/>
      <c r="R886" s="1"/>
      <c r="S886" s="1"/>
      <c r="T886" s="1"/>
      <c r="U886" s="1"/>
      <c r="V886" s="1"/>
      <c r="W886" s="1"/>
      <c r="X886" s="1"/>
      <c r="Y886" s="1"/>
    </row>
    <row r="887" spans="1:25">
      <c r="A887" s="9"/>
      <c r="B887" s="8"/>
      <c r="C887" s="114"/>
      <c r="D887" s="3"/>
      <c r="E887" s="3"/>
      <c r="F887" s="1"/>
      <c r="G887" s="1"/>
      <c r="H887" s="1"/>
      <c r="I887" s="1"/>
      <c r="J887" s="1"/>
      <c r="K887" s="1"/>
      <c r="L887" s="1"/>
      <c r="M887" s="1"/>
      <c r="N887" s="1"/>
      <c r="O887" s="1"/>
      <c r="P887" s="1"/>
      <c r="Q887" s="1"/>
      <c r="R887" s="1"/>
      <c r="S887" s="1"/>
      <c r="T887" s="1"/>
      <c r="U887" s="1"/>
      <c r="V887" s="1"/>
      <c r="W887" s="1"/>
      <c r="X887" s="1"/>
      <c r="Y887" s="1"/>
    </row>
    <row r="888" spans="1:25">
      <c r="A888" s="9"/>
      <c r="B888" s="8"/>
      <c r="C888" s="114"/>
      <c r="D888" s="3"/>
      <c r="E888" s="3"/>
      <c r="F888" s="1"/>
      <c r="G888" s="1"/>
      <c r="H888" s="1"/>
      <c r="I888" s="1"/>
      <c r="J888" s="1"/>
      <c r="K888" s="1"/>
      <c r="L888" s="1"/>
      <c r="M888" s="1"/>
      <c r="N888" s="1"/>
      <c r="O888" s="1"/>
      <c r="P888" s="1"/>
      <c r="Q888" s="1"/>
      <c r="R888" s="1"/>
      <c r="S888" s="1"/>
      <c r="T888" s="1"/>
      <c r="U888" s="1"/>
      <c r="V888" s="1"/>
      <c r="W888" s="1"/>
      <c r="X888" s="1"/>
      <c r="Y888" s="1"/>
    </row>
    <row r="889" spans="1:25">
      <c r="A889" s="9"/>
      <c r="B889" s="8"/>
      <c r="C889" s="114"/>
      <c r="D889" s="3"/>
      <c r="E889" s="3"/>
      <c r="F889" s="1"/>
      <c r="G889" s="1"/>
      <c r="H889" s="1"/>
      <c r="I889" s="1"/>
      <c r="J889" s="1"/>
      <c r="K889" s="1"/>
      <c r="L889" s="1"/>
      <c r="M889" s="1"/>
      <c r="N889" s="1"/>
      <c r="O889" s="1"/>
      <c r="P889" s="1"/>
      <c r="Q889" s="1"/>
      <c r="R889" s="1"/>
      <c r="S889" s="1"/>
      <c r="T889" s="1"/>
      <c r="U889" s="1"/>
      <c r="V889" s="1"/>
      <c r="W889" s="1"/>
      <c r="X889" s="1"/>
      <c r="Y889" s="1"/>
    </row>
    <row r="890" spans="1:25">
      <c r="A890" s="9"/>
      <c r="B890" s="8"/>
      <c r="C890" s="114"/>
      <c r="D890" s="3"/>
      <c r="E890" s="3"/>
      <c r="F890" s="1"/>
      <c r="G890" s="1"/>
      <c r="H890" s="1"/>
      <c r="I890" s="1"/>
      <c r="J890" s="1"/>
      <c r="K890" s="1"/>
      <c r="L890" s="1"/>
      <c r="M890" s="1"/>
      <c r="N890" s="1"/>
      <c r="O890" s="1"/>
      <c r="P890" s="1"/>
      <c r="Q890" s="1"/>
      <c r="R890" s="1"/>
      <c r="S890" s="1"/>
      <c r="T890" s="1"/>
      <c r="U890" s="1"/>
      <c r="V890" s="1"/>
      <c r="W890" s="1"/>
      <c r="X890" s="1"/>
      <c r="Y890" s="1"/>
    </row>
    <row r="891" spans="1:25">
      <c r="A891" s="9"/>
      <c r="B891" s="8"/>
      <c r="C891" s="114"/>
      <c r="D891" s="3"/>
      <c r="E891" s="3"/>
      <c r="F891" s="1"/>
      <c r="G891" s="1"/>
      <c r="H891" s="1"/>
      <c r="I891" s="1"/>
      <c r="J891" s="1"/>
      <c r="K891" s="1"/>
      <c r="L891" s="1"/>
      <c r="M891" s="1"/>
      <c r="N891" s="1"/>
      <c r="O891" s="1"/>
      <c r="P891" s="1"/>
      <c r="Q891" s="1"/>
      <c r="R891" s="1"/>
      <c r="S891" s="1"/>
      <c r="T891" s="1"/>
      <c r="U891" s="1"/>
      <c r="V891" s="1"/>
      <c r="W891" s="1"/>
      <c r="X891" s="1"/>
      <c r="Y891" s="1"/>
    </row>
    <row r="892" spans="1:25">
      <c r="A892" s="9"/>
      <c r="B892" s="8"/>
      <c r="C892" s="114"/>
      <c r="D892" s="3"/>
      <c r="E892" s="3"/>
      <c r="F892" s="1"/>
      <c r="G892" s="1"/>
      <c r="H892" s="1"/>
      <c r="I892" s="1"/>
      <c r="J892" s="1"/>
      <c r="K892" s="1"/>
      <c r="L892" s="1"/>
      <c r="M892" s="1"/>
      <c r="N892" s="1"/>
      <c r="O892" s="1"/>
      <c r="P892" s="1"/>
      <c r="Q892" s="1"/>
      <c r="R892" s="1"/>
      <c r="S892" s="1"/>
      <c r="T892" s="1"/>
      <c r="U892" s="1"/>
      <c r="V892" s="1"/>
      <c r="W892" s="1"/>
      <c r="X892" s="1"/>
      <c r="Y892" s="1"/>
    </row>
    <row r="893" spans="1:25">
      <c r="A893" s="9"/>
      <c r="B893" s="8"/>
      <c r="C893" s="114"/>
      <c r="D893" s="3"/>
      <c r="E893" s="3"/>
      <c r="F893" s="1"/>
      <c r="G893" s="1"/>
      <c r="H893" s="1"/>
      <c r="I893" s="1"/>
      <c r="J893" s="1"/>
      <c r="K893" s="1"/>
      <c r="L893" s="1"/>
      <c r="M893" s="1"/>
      <c r="N893" s="1"/>
      <c r="O893" s="1"/>
      <c r="P893" s="1"/>
      <c r="Q893" s="1"/>
      <c r="R893" s="1"/>
      <c r="S893" s="1"/>
      <c r="T893" s="1"/>
      <c r="U893" s="1"/>
      <c r="V893" s="1"/>
      <c r="W893" s="1"/>
      <c r="X893" s="1"/>
      <c r="Y893" s="1"/>
    </row>
    <row r="894" spans="1:25">
      <c r="A894" s="9"/>
      <c r="B894" s="8"/>
      <c r="C894" s="114"/>
      <c r="D894" s="3"/>
      <c r="E894" s="3"/>
      <c r="F894" s="1"/>
      <c r="G894" s="1"/>
      <c r="H894" s="1"/>
      <c r="I894" s="1"/>
      <c r="J894" s="1"/>
      <c r="K894" s="1"/>
      <c r="L894" s="1"/>
      <c r="M894" s="1"/>
      <c r="N894" s="1"/>
      <c r="O894" s="1"/>
      <c r="P894" s="1"/>
      <c r="Q894" s="1"/>
      <c r="R894" s="1"/>
      <c r="S894" s="1"/>
      <c r="T894" s="1"/>
      <c r="U894" s="1"/>
      <c r="V894" s="1"/>
      <c r="W894" s="1"/>
      <c r="X894" s="1"/>
      <c r="Y894" s="1"/>
    </row>
    <row r="895" spans="1:25">
      <c r="A895" s="9"/>
      <c r="B895" s="8"/>
      <c r="C895" s="114"/>
      <c r="D895" s="3"/>
      <c r="E895" s="3"/>
      <c r="F895" s="1"/>
      <c r="G895" s="1"/>
      <c r="H895" s="1"/>
      <c r="I895" s="1"/>
      <c r="J895" s="1"/>
      <c r="K895" s="1"/>
      <c r="L895" s="1"/>
      <c r="M895" s="1"/>
      <c r="N895" s="1"/>
      <c r="O895" s="1"/>
      <c r="P895" s="1"/>
      <c r="Q895" s="1"/>
      <c r="R895" s="1"/>
      <c r="S895" s="1"/>
      <c r="T895" s="1"/>
      <c r="U895" s="1"/>
      <c r="V895" s="1"/>
      <c r="W895" s="1"/>
      <c r="X895" s="1"/>
      <c r="Y895" s="1"/>
    </row>
    <row r="896" spans="1:25">
      <c r="A896" s="9"/>
      <c r="B896" s="8"/>
      <c r="C896" s="114"/>
      <c r="D896" s="3"/>
      <c r="E896" s="3"/>
      <c r="F896" s="1"/>
      <c r="G896" s="1"/>
      <c r="H896" s="1"/>
      <c r="I896" s="1"/>
      <c r="J896" s="1"/>
      <c r="K896" s="1"/>
      <c r="L896" s="1"/>
      <c r="M896" s="1"/>
      <c r="N896" s="1"/>
      <c r="O896" s="1"/>
      <c r="P896" s="1"/>
      <c r="Q896" s="1"/>
      <c r="R896" s="1"/>
      <c r="S896" s="1"/>
      <c r="T896" s="1"/>
      <c r="U896" s="1"/>
      <c r="V896" s="1"/>
      <c r="W896" s="1"/>
      <c r="X896" s="1"/>
      <c r="Y896" s="1"/>
    </row>
    <row r="897" spans="1:25">
      <c r="A897" s="9"/>
      <c r="B897" s="8"/>
      <c r="C897" s="114"/>
      <c r="D897" s="3"/>
      <c r="E897" s="3"/>
      <c r="F897" s="1"/>
      <c r="G897" s="1"/>
      <c r="H897" s="1"/>
      <c r="I897" s="1"/>
      <c r="J897" s="1"/>
      <c r="K897" s="1"/>
      <c r="L897" s="1"/>
      <c r="M897" s="1"/>
      <c r="N897" s="1"/>
      <c r="O897" s="1"/>
      <c r="P897" s="1"/>
      <c r="Q897" s="1"/>
      <c r="R897" s="1"/>
      <c r="S897" s="1"/>
      <c r="T897" s="1"/>
      <c r="U897" s="1"/>
      <c r="V897" s="1"/>
      <c r="W897" s="1"/>
      <c r="X897" s="1"/>
      <c r="Y897" s="1"/>
    </row>
    <row r="898" spans="1:25">
      <c r="A898" s="9"/>
      <c r="B898" s="8"/>
      <c r="C898" s="114"/>
      <c r="D898" s="3"/>
      <c r="E898" s="3"/>
      <c r="F898" s="1"/>
      <c r="G898" s="1"/>
      <c r="H898" s="1"/>
      <c r="I898" s="1"/>
      <c r="J898" s="1"/>
      <c r="K898" s="1"/>
      <c r="L898" s="1"/>
      <c r="M898" s="1"/>
      <c r="N898" s="1"/>
      <c r="O898" s="1"/>
      <c r="P898" s="1"/>
      <c r="Q898" s="1"/>
      <c r="R898" s="1"/>
      <c r="S898" s="1"/>
      <c r="T898" s="1"/>
      <c r="U898" s="1"/>
      <c r="V898" s="1"/>
      <c r="W898" s="1"/>
      <c r="X898" s="1"/>
      <c r="Y898" s="1"/>
    </row>
    <row r="899" spans="1:25">
      <c r="A899" s="9"/>
      <c r="B899" s="8"/>
      <c r="C899" s="114"/>
      <c r="D899" s="3"/>
      <c r="E899" s="3"/>
      <c r="F899" s="1"/>
      <c r="G899" s="1"/>
      <c r="H899" s="1"/>
      <c r="I899" s="1"/>
      <c r="J899" s="1"/>
      <c r="K899" s="1"/>
      <c r="L899" s="1"/>
      <c r="M899" s="1"/>
      <c r="N899" s="1"/>
      <c r="O899" s="1"/>
      <c r="P899" s="1"/>
      <c r="Q899" s="1"/>
      <c r="R899" s="1"/>
      <c r="S899" s="1"/>
      <c r="T899" s="1"/>
      <c r="U899" s="1"/>
      <c r="V899" s="1"/>
      <c r="W899" s="1"/>
      <c r="X899" s="1"/>
      <c r="Y899" s="1"/>
    </row>
    <row r="900" spans="1:25">
      <c r="A900" s="9"/>
      <c r="B900" s="8"/>
      <c r="C900" s="114"/>
      <c r="D900" s="3"/>
      <c r="E900" s="3"/>
      <c r="F900" s="1"/>
      <c r="G900" s="1"/>
      <c r="H900" s="1"/>
      <c r="I900" s="1"/>
      <c r="J900" s="1"/>
      <c r="K900" s="1"/>
      <c r="L900" s="1"/>
      <c r="M900" s="1"/>
      <c r="N900" s="1"/>
      <c r="O900" s="1"/>
      <c r="P900" s="1"/>
      <c r="Q900" s="1"/>
      <c r="R900" s="1"/>
      <c r="S900" s="1"/>
      <c r="T900" s="1"/>
      <c r="U900" s="1"/>
      <c r="V900" s="1"/>
      <c r="W900" s="1"/>
      <c r="X900" s="1"/>
      <c r="Y900" s="1"/>
    </row>
    <row r="901" spans="1:25">
      <c r="A901" s="9"/>
      <c r="B901" s="8"/>
      <c r="C901" s="114"/>
      <c r="D901" s="3"/>
      <c r="E901" s="3"/>
      <c r="F901" s="1"/>
      <c r="G901" s="1"/>
      <c r="H901" s="1"/>
      <c r="I901" s="1"/>
      <c r="J901" s="1"/>
      <c r="K901" s="1"/>
      <c r="L901" s="1"/>
      <c r="M901" s="1"/>
      <c r="N901" s="1"/>
      <c r="O901" s="1"/>
      <c r="P901" s="1"/>
      <c r="Q901" s="1"/>
      <c r="R901" s="1"/>
      <c r="S901" s="1"/>
      <c r="T901" s="1"/>
      <c r="U901" s="1"/>
      <c r="V901" s="1"/>
      <c r="W901" s="1"/>
      <c r="X901" s="1"/>
      <c r="Y901" s="1"/>
    </row>
    <row r="902" spans="1:25">
      <c r="A902" s="9"/>
      <c r="B902" s="8"/>
      <c r="C902" s="114"/>
      <c r="D902" s="3"/>
      <c r="E902" s="3"/>
      <c r="F902" s="1"/>
      <c r="G902" s="1"/>
      <c r="H902" s="1"/>
      <c r="I902" s="1"/>
      <c r="J902" s="1"/>
      <c r="K902" s="1"/>
      <c r="L902" s="1"/>
      <c r="M902" s="1"/>
      <c r="N902" s="1"/>
      <c r="O902" s="1"/>
      <c r="P902" s="1"/>
      <c r="Q902" s="1"/>
      <c r="R902" s="1"/>
      <c r="S902" s="1"/>
      <c r="T902" s="1"/>
      <c r="U902" s="1"/>
      <c r="V902" s="1"/>
      <c r="W902" s="1"/>
      <c r="X902" s="1"/>
      <c r="Y902" s="1"/>
    </row>
    <row r="903" spans="1:25">
      <c r="A903" s="9"/>
      <c r="B903" s="8"/>
      <c r="C903" s="114"/>
      <c r="D903" s="3"/>
      <c r="E903" s="3"/>
      <c r="F903" s="1"/>
      <c r="G903" s="1"/>
      <c r="H903" s="1"/>
      <c r="I903" s="1"/>
      <c r="J903" s="1"/>
      <c r="K903" s="1"/>
      <c r="L903" s="1"/>
      <c r="M903" s="1"/>
      <c r="N903" s="1"/>
      <c r="O903" s="1"/>
      <c r="P903" s="1"/>
      <c r="Q903" s="1"/>
      <c r="R903" s="1"/>
      <c r="S903" s="1"/>
      <c r="T903" s="1"/>
      <c r="U903" s="1"/>
      <c r="V903" s="1"/>
      <c r="W903" s="1"/>
      <c r="X903" s="1"/>
      <c r="Y903" s="1"/>
    </row>
    <row r="904" spans="1:25">
      <c r="A904" s="9"/>
      <c r="B904" s="8"/>
      <c r="C904" s="114"/>
      <c r="D904" s="3"/>
      <c r="E904" s="3"/>
      <c r="F904" s="1"/>
      <c r="G904" s="1"/>
      <c r="H904" s="1"/>
      <c r="I904" s="1"/>
      <c r="J904" s="1"/>
      <c r="K904" s="1"/>
      <c r="L904" s="1"/>
      <c r="M904" s="1"/>
      <c r="N904" s="1"/>
      <c r="O904" s="1"/>
      <c r="P904" s="1"/>
      <c r="Q904" s="1"/>
      <c r="R904" s="1"/>
      <c r="S904" s="1"/>
      <c r="T904" s="1"/>
      <c r="U904" s="1"/>
      <c r="V904" s="1"/>
      <c r="W904" s="1"/>
      <c r="X904" s="1"/>
      <c r="Y904" s="1"/>
    </row>
    <row r="905" spans="1:25">
      <c r="A905" s="9"/>
      <c r="B905" s="8"/>
      <c r="C905" s="114"/>
      <c r="D905" s="3"/>
      <c r="E905" s="3"/>
      <c r="F905" s="1"/>
      <c r="G905" s="1"/>
      <c r="H905" s="1"/>
      <c r="I905" s="1"/>
      <c r="J905" s="1"/>
      <c r="K905" s="1"/>
      <c r="L905" s="1"/>
      <c r="M905" s="1"/>
      <c r="N905" s="1"/>
      <c r="O905" s="1"/>
      <c r="P905" s="1"/>
      <c r="Q905" s="1"/>
      <c r="R905" s="1"/>
      <c r="S905" s="1"/>
      <c r="T905" s="1"/>
      <c r="U905" s="1"/>
      <c r="V905" s="1"/>
      <c r="W905" s="1"/>
      <c r="X905" s="1"/>
      <c r="Y905" s="1"/>
    </row>
    <row r="906" spans="1:25">
      <c r="A906" s="9"/>
      <c r="B906" s="8"/>
      <c r="C906" s="114"/>
      <c r="D906" s="3"/>
      <c r="E906" s="3"/>
      <c r="F906" s="1"/>
      <c r="G906" s="1"/>
      <c r="H906" s="1"/>
      <c r="I906" s="1"/>
      <c r="J906" s="1"/>
      <c r="K906" s="1"/>
      <c r="L906" s="1"/>
      <c r="M906" s="1"/>
      <c r="N906" s="1"/>
      <c r="O906" s="1"/>
      <c r="P906" s="1"/>
      <c r="Q906" s="1"/>
      <c r="R906" s="1"/>
      <c r="S906" s="1"/>
      <c r="T906" s="1"/>
      <c r="U906" s="1"/>
      <c r="V906" s="1"/>
      <c r="W906" s="1"/>
      <c r="X906" s="1"/>
      <c r="Y906" s="1"/>
    </row>
    <row r="907" spans="1:25">
      <c r="A907" s="9"/>
      <c r="B907" s="8"/>
      <c r="C907" s="114"/>
      <c r="D907" s="3"/>
      <c r="E907" s="3"/>
      <c r="F907" s="1"/>
      <c r="G907" s="1"/>
      <c r="H907" s="1"/>
      <c r="I907" s="1"/>
      <c r="J907" s="1"/>
      <c r="K907" s="1"/>
      <c r="L907" s="1"/>
      <c r="M907" s="1"/>
      <c r="N907" s="1"/>
      <c r="O907" s="1"/>
      <c r="P907" s="1"/>
      <c r="Q907" s="1"/>
      <c r="R907" s="1"/>
      <c r="S907" s="1"/>
      <c r="T907" s="1"/>
      <c r="U907" s="1"/>
      <c r="V907" s="1"/>
      <c r="W907" s="1"/>
      <c r="X907" s="1"/>
      <c r="Y907" s="1"/>
    </row>
    <row r="908" spans="1:25">
      <c r="A908" s="9"/>
      <c r="B908" s="8"/>
      <c r="C908" s="114"/>
      <c r="D908" s="3"/>
      <c r="E908" s="3"/>
      <c r="F908" s="1"/>
      <c r="G908" s="1"/>
      <c r="H908" s="1"/>
      <c r="I908" s="1"/>
      <c r="J908" s="1"/>
      <c r="K908" s="1"/>
      <c r="L908" s="1"/>
      <c r="M908" s="1"/>
      <c r="N908" s="1"/>
      <c r="O908" s="1"/>
      <c r="P908" s="1"/>
      <c r="Q908" s="1"/>
      <c r="R908" s="1"/>
      <c r="S908" s="1"/>
      <c r="T908" s="1"/>
      <c r="U908" s="1"/>
      <c r="V908" s="1"/>
      <c r="W908" s="1"/>
      <c r="X908" s="1"/>
      <c r="Y908" s="1"/>
    </row>
    <row r="909" spans="1:25">
      <c r="A909" s="9"/>
      <c r="B909" s="8"/>
      <c r="C909" s="114"/>
      <c r="D909" s="3"/>
      <c r="E909" s="3"/>
      <c r="F909" s="1"/>
      <c r="G909" s="1"/>
      <c r="H909" s="1"/>
      <c r="I909" s="1"/>
      <c r="J909" s="1"/>
      <c r="K909" s="1"/>
      <c r="L909" s="1"/>
      <c r="M909" s="1"/>
      <c r="N909" s="1"/>
      <c r="O909" s="1"/>
      <c r="P909" s="1"/>
      <c r="Q909" s="1"/>
      <c r="R909" s="1"/>
      <c r="S909" s="1"/>
      <c r="T909" s="1"/>
      <c r="U909" s="1"/>
      <c r="V909" s="1"/>
      <c r="W909" s="1"/>
      <c r="X909" s="1"/>
      <c r="Y909" s="1"/>
    </row>
    <row r="910" spans="1:25">
      <c r="A910" s="9"/>
      <c r="B910" s="8"/>
      <c r="C910" s="114"/>
      <c r="D910" s="3"/>
      <c r="E910" s="3"/>
      <c r="F910" s="1"/>
      <c r="G910" s="1"/>
      <c r="H910" s="1"/>
      <c r="I910" s="1"/>
      <c r="J910" s="1"/>
      <c r="K910" s="1"/>
      <c r="L910" s="1"/>
      <c r="M910" s="1"/>
      <c r="N910" s="1"/>
      <c r="O910" s="1"/>
      <c r="P910" s="1"/>
      <c r="Q910" s="1"/>
      <c r="R910" s="1"/>
      <c r="S910" s="1"/>
      <c r="T910" s="1"/>
      <c r="U910" s="1"/>
      <c r="V910" s="1"/>
      <c r="W910" s="1"/>
      <c r="X910" s="1"/>
      <c r="Y910" s="1"/>
    </row>
    <row r="911" spans="1:25">
      <c r="A911" s="9"/>
      <c r="B911" s="8"/>
      <c r="C911" s="114"/>
      <c r="D911" s="3"/>
      <c r="E911" s="3"/>
      <c r="F911" s="1"/>
      <c r="G911" s="1"/>
      <c r="H911" s="1"/>
      <c r="I911" s="1"/>
      <c r="J911" s="1"/>
      <c r="K911" s="1"/>
      <c r="L911" s="1"/>
      <c r="M911" s="1"/>
      <c r="N911" s="1"/>
      <c r="O911" s="1"/>
      <c r="P911" s="1"/>
      <c r="Q911" s="1"/>
      <c r="R911" s="1"/>
      <c r="S911" s="1"/>
      <c r="T911" s="1"/>
      <c r="U911" s="1"/>
      <c r="V911" s="1"/>
      <c r="W911" s="1"/>
      <c r="X911" s="1"/>
      <c r="Y911" s="1"/>
    </row>
    <row r="912" spans="1:25">
      <c r="A912" s="9"/>
      <c r="B912" s="8"/>
      <c r="C912" s="114"/>
      <c r="D912" s="3"/>
      <c r="E912" s="3"/>
      <c r="F912" s="1"/>
      <c r="G912" s="1"/>
      <c r="H912" s="1"/>
      <c r="I912" s="1"/>
      <c r="J912" s="1"/>
      <c r="K912" s="1"/>
      <c r="L912" s="1"/>
      <c r="M912" s="1"/>
      <c r="N912" s="1"/>
      <c r="O912" s="1"/>
      <c r="P912" s="1"/>
      <c r="Q912" s="1"/>
      <c r="R912" s="1"/>
      <c r="S912" s="1"/>
      <c r="T912" s="1"/>
      <c r="U912" s="1"/>
      <c r="V912" s="1"/>
      <c r="W912" s="1"/>
      <c r="X912" s="1"/>
      <c r="Y912" s="1"/>
    </row>
    <row r="913" spans="1:25">
      <c r="A913" s="9"/>
      <c r="B913" s="8"/>
      <c r="C913" s="114"/>
      <c r="D913" s="3"/>
      <c r="E913" s="3"/>
      <c r="F913" s="1"/>
      <c r="G913" s="1"/>
      <c r="H913" s="1"/>
      <c r="I913" s="1"/>
      <c r="J913" s="1"/>
      <c r="K913" s="1"/>
      <c r="L913" s="1"/>
      <c r="M913" s="1"/>
      <c r="N913" s="1"/>
      <c r="O913" s="1"/>
      <c r="P913" s="1"/>
      <c r="Q913" s="1"/>
      <c r="R913" s="1"/>
      <c r="S913" s="1"/>
      <c r="T913" s="1"/>
      <c r="U913" s="1"/>
      <c r="V913" s="1"/>
      <c r="W913" s="1"/>
      <c r="X913" s="1"/>
      <c r="Y913" s="1"/>
    </row>
    <row r="914" spans="1:25">
      <c r="A914" s="9"/>
      <c r="B914" s="8"/>
      <c r="C914" s="114"/>
      <c r="D914" s="3"/>
      <c r="E914" s="3"/>
      <c r="F914" s="1"/>
      <c r="G914" s="1"/>
      <c r="H914" s="1"/>
      <c r="I914" s="1"/>
      <c r="J914" s="1"/>
      <c r="K914" s="1"/>
      <c r="L914" s="1"/>
      <c r="M914" s="1"/>
      <c r="N914" s="1"/>
      <c r="O914" s="1"/>
      <c r="P914" s="1"/>
      <c r="Q914" s="1"/>
      <c r="R914" s="1"/>
      <c r="S914" s="1"/>
      <c r="T914" s="1"/>
      <c r="U914" s="1"/>
      <c r="V914" s="1"/>
      <c r="W914" s="1"/>
      <c r="X914" s="1"/>
      <c r="Y914" s="1"/>
    </row>
    <row r="915" spans="1:25">
      <c r="A915" s="9"/>
      <c r="B915" s="8"/>
      <c r="C915" s="114"/>
      <c r="D915" s="3"/>
      <c r="E915" s="3"/>
      <c r="F915" s="1"/>
      <c r="G915" s="1"/>
      <c r="H915" s="1"/>
      <c r="I915" s="1"/>
      <c r="J915" s="1"/>
      <c r="K915" s="1"/>
      <c r="L915" s="1"/>
      <c r="M915" s="1"/>
      <c r="N915" s="1"/>
      <c r="O915" s="1"/>
      <c r="P915" s="1"/>
      <c r="Q915" s="1"/>
      <c r="R915" s="1"/>
      <c r="S915" s="1"/>
      <c r="T915" s="1"/>
      <c r="U915" s="1"/>
      <c r="V915" s="1"/>
      <c r="W915" s="1"/>
      <c r="X915" s="1"/>
      <c r="Y915" s="1"/>
    </row>
    <row r="916" spans="1:25">
      <c r="A916" s="9"/>
      <c r="B916" s="8"/>
      <c r="C916" s="114"/>
      <c r="D916" s="3"/>
      <c r="E916" s="3"/>
      <c r="F916" s="1"/>
      <c r="G916" s="1"/>
      <c r="H916" s="1"/>
      <c r="I916" s="1"/>
      <c r="J916" s="1"/>
      <c r="K916" s="1"/>
      <c r="L916" s="1"/>
      <c r="M916" s="1"/>
      <c r="N916" s="1"/>
      <c r="O916" s="1"/>
      <c r="P916" s="1"/>
      <c r="Q916" s="1"/>
      <c r="R916" s="1"/>
      <c r="S916" s="1"/>
      <c r="T916" s="1"/>
      <c r="U916" s="1"/>
      <c r="V916" s="1"/>
      <c r="W916" s="1"/>
      <c r="X916" s="1"/>
      <c r="Y916" s="1"/>
    </row>
    <row r="917" spans="1:25">
      <c r="A917" s="9"/>
      <c r="B917" s="8"/>
      <c r="C917" s="114"/>
      <c r="D917" s="3"/>
      <c r="E917" s="3"/>
      <c r="F917" s="1"/>
      <c r="G917" s="1"/>
      <c r="H917" s="1"/>
      <c r="I917" s="1"/>
      <c r="J917" s="1"/>
      <c r="K917" s="1"/>
      <c r="L917" s="1"/>
      <c r="M917" s="1"/>
      <c r="N917" s="1"/>
      <c r="O917" s="1"/>
      <c r="P917" s="1"/>
      <c r="Q917" s="1"/>
      <c r="R917" s="1"/>
      <c r="S917" s="1"/>
      <c r="T917" s="1"/>
      <c r="U917" s="1"/>
      <c r="V917" s="1"/>
      <c r="W917" s="1"/>
      <c r="X917" s="1"/>
      <c r="Y917" s="1"/>
    </row>
    <row r="918" spans="1:25">
      <c r="A918" s="9"/>
      <c r="B918" s="8"/>
      <c r="C918" s="114"/>
      <c r="D918" s="3"/>
      <c r="E918" s="3"/>
      <c r="F918" s="1"/>
      <c r="G918" s="1"/>
      <c r="H918" s="1"/>
      <c r="I918" s="1"/>
      <c r="J918" s="1"/>
      <c r="K918" s="1"/>
      <c r="L918" s="1"/>
      <c r="M918" s="1"/>
      <c r="N918" s="1"/>
      <c r="O918" s="1"/>
      <c r="P918" s="1"/>
      <c r="Q918" s="1"/>
      <c r="R918" s="1"/>
      <c r="S918" s="1"/>
      <c r="T918" s="1"/>
      <c r="U918" s="1"/>
      <c r="V918" s="1"/>
      <c r="W918" s="1"/>
      <c r="X918" s="1"/>
      <c r="Y918" s="1"/>
    </row>
    <row r="919" spans="1:25">
      <c r="A919" s="9"/>
      <c r="B919" s="8"/>
      <c r="C919" s="114"/>
      <c r="D919" s="3"/>
      <c r="E919" s="3"/>
      <c r="F919" s="1"/>
      <c r="G919" s="1"/>
      <c r="H919" s="1"/>
      <c r="I919" s="1"/>
      <c r="J919" s="1"/>
      <c r="K919" s="1"/>
      <c r="L919" s="1"/>
      <c r="M919" s="1"/>
      <c r="N919" s="1"/>
      <c r="O919" s="1"/>
      <c r="P919" s="1"/>
      <c r="Q919" s="1"/>
      <c r="R919" s="1"/>
      <c r="S919" s="1"/>
      <c r="T919" s="1"/>
      <c r="U919" s="1"/>
      <c r="V919" s="1"/>
      <c r="W919" s="1"/>
      <c r="X919" s="1"/>
      <c r="Y919" s="1"/>
    </row>
    <row r="920" spans="1:25">
      <c r="A920" s="9"/>
      <c r="B920" s="8"/>
      <c r="C920" s="114"/>
      <c r="D920" s="3"/>
      <c r="E920" s="3"/>
      <c r="F920" s="1"/>
      <c r="G920" s="1"/>
      <c r="H920" s="1"/>
      <c r="I920" s="1"/>
      <c r="J920" s="1"/>
      <c r="K920" s="1"/>
      <c r="L920" s="1"/>
      <c r="M920" s="1"/>
      <c r="N920" s="1"/>
      <c r="O920" s="1"/>
      <c r="P920" s="1"/>
      <c r="Q920" s="1"/>
      <c r="R920" s="1"/>
      <c r="S920" s="1"/>
      <c r="T920" s="1"/>
      <c r="U920" s="1"/>
      <c r="V920" s="1"/>
      <c r="W920" s="1"/>
      <c r="X920" s="1"/>
      <c r="Y920" s="1"/>
    </row>
    <row r="921" spans="1:25">
      <c r="A921" s="9"/>
      <c r="B921" s="8"/>
      <c r="C921" s="114"/>
      <c r="D921" s="3"/>
      <c r="E921" s="3"/>
      <c r="F921" s="1"/>
      <c r="G921" s="1"/>
      <c r="H921" s="1"/>
      <c r="I921" s="1"/>
      <c r="J921" s="1"/>
      <c r="K921" s="1"/>
      <c r="L921" s="1"/>
      <c r="M921" s="1"/>
      <c r="N921" s="1"/>
      <c r="O921" s="1"/>
      <c r="P921" s="1"/>
      <c r="Q921" s="1"/>
      <c r="R921" s="1"/>
      <c r="S921" s="1"/>
      <c r="T921" s="1"/>
      <c r="U921" s="1"/>
      <c r="V921" s="1"/>
      <c r="W921" s="1"/>
      <c r="X921" s="1"/>
      <c r="Y921" s="1"/>
    </row>
    <row r="922" spans="1:25">
      <c r="A922" s="9"/>
      <c r="B922" s="8"/>
      <c r="C922" s="114"/>
      <c r="D922" s="3"/>
      <c r="E922" s="3"/>
      <c r="F922" s="1"/>
      <c r="G922" s="1"/>
      <c r="H922" s="1"/>
      <c r="I922" s="1"/>
      <c r="J922" s="1"/>
      <c r="K922" s="1"/>
      <c r="L922" s="1"/>
      <c r="M922" s="1"/>
      <c r="N922" s="1"/>
      <c r="O922" s="1"/>
      <c r="P922" s="1"/>
      <c r="Q922" s="1"/>
      <c r="R922" s="1"/>
      <c r="S922" s="1"/>
      <c r="T922" s="1"/>
      <c r="U922" s="1"/>
      <c r="V922" s="1"/>
      <c r="W922" s="1"/>
      <c r="X922" s="1"/>
      <c r="Y922" s="1"/>
    </row>
    <row r="923" spans="1:25">
      <c r="A923" s="9"/>
      <c r="B923" s="8"/>
      <c r="C923" s="114"/>
      <c r="D923" s="3"/>
      <c r="E923" s="3"/>
      <c r="F923" s="1"/>
      <c r="G923" s="1"/>
      <c r="H923" s="1"/>
      <c r="I923" s="1"/>
      <c r="J923" s="1"/>
      <c r="K923" s="1"/>
      <c r="L923" s="1"/>
      <c r="M923" s="1"/>
      <c r="N923" s="1"/>
      <c r="O923" s="1"/>
      <c r="P923" s="1"/>
      <c r="Q923" s="1"/>
      <c r="R923" s="1"/>
      <c r="S923" s="1"/>
      <c r="T923" s="1"/>
      <c r="U923" s="1"/>
      <c r="V923" s="1"/>
      <c r="W923" s="1"/>
      <c r="X923" s="1"/>
      <c r="Y923" s="1"/>
    </row>
    <row r="924" spans="1:25">
      <c r="A924" s="9"/>
      <c r="B924" s="8"/>
      <c r="C924" s="114"/>
      <c r="D924" s="3"/>
      <c r="E924" s="3"/>
      <c r="F924" s="1"/>
      <c r="G924" s="1"/>
      <c r="H924" s="1"/>
      <c r="I924" s="1"/>
      <c r="J924" s="1"/>
      <c r="K924" s="1"/>
      <c r="L924" s="1"/>
      <c r="M924" s="1"/>
      <c r="N924" s="1"/>
      <c r="O924" s="1"/>
      <c r="P924" s="1"/>
      <c r="Q924" s="1"/>
      <c r="R924" s="1"/>
      <c r="S924" s="1"/>
      <c r="T924" s="1"/>
      <c r="U924" s="1"/>
      <c r="V924" s="1"/>
      <c r="W924" s="1"/>
      <c r="X924" s="1"/>
      <c r="Y924" s="1"/>
    </row>
    <row r="925" spans="1:25">
      <c r="A925" s="9"/>
      <c r="B925" s="8"/>
      <c r="C925" s="114"/>
      <c r="D925" s="3"/>
      <c r="E925" s="3"/>
      <c r="F925" s="1"/>
      <c r="G925" s="1"/>
      <c r="H925" s="1"/>
      <c r="I925" s="1"/>
      <c r="J925" s="1"/>
      <c r="K925" s="1"/>
      <c r="L925" s="1"/>
      <c r="M925" s="1"/>
      <c r="N925" s="1"/>
      <c r="O925" s="1"/>
      <c r="P925" s="1"/>
      <c r="Q925" s="1"/>
      <c r="R925" s="1"/>
      <c r="S925" s="1"/>
      <c r="T925" s="1"/>
      <c r="U925" s="1"/>
      <c r="V925" s="1"/>
      <c r="W925" s="1"/>
      <c r="X925" s="1"/>
      <c r="Y925" s="1"/>
    </row>
    <row r="926" spans="1:25">
      <c r="A926" s="9"/>
      <c r="B926" s="8"/>
      <c r="C926" s="114"/>
      <c r="D926" s="3"/>
      <c r="E926" s="3"/>
      <c r="F926" s="1"/>
      <c r="G926" s="1"/>
      <c r="H926" s="1"/>
      <c r="I926" s="1"/>
      <c r="J926" s="1"/>
      <c r="K926" s="1"/>
      <c r="L926" s="1"/>
      <c r="M926" s="1"/>
      <c r="N926" s="1"/>
      <c r="O926" s="1"/>
      <c r="P926" s="1"/>
      <c r="Q926" s="1"/>
      <c r="R926" s="1"/>
      <c r="S926" s="1"/>
      <c r="T926" s="1"/>
      <c r="U926" s="1"/>
      <c r="V926" s="1"/>
      <c r="W926" s="1"/>
      <c r="X926" s="1"/>
      <c r="Y926" s="1"/>
    </row>
    <row r="927" spans="1:25">
      <c r="A927" s="9"/>
      <c r="B927" s="8"/>
      <c r="C927" s="114"/>
      <c r="D927" s="3"/>
      <c r="E927" s="3"/>
      <c r="F927" s="1"/>
      <c r="G927" s="1"/>
      <c r="H927" s="1"/>
      <c r="I927" s="1"/>
      <c r="J927" s="1"/>
      <c r="K927" s="1"/>
      <c r="L927" s="1"/>
      <c r="M927" s="1"/>
      <c r="N927" s="1"/>
      <c r="O927" s="1"/>
      <c r="P927" s="1"/>
      <c r="Q927" s="1"/>
      <c r="R927" s="1"/>
      <c r="S927" s="1"/>
      <c r="T927" s="1"/>
      <c r="U927" s="1"/>
      <c r="V927" s="1"/>
      <c r="W927" s="1"/>
      <c r="X927" s="1"/>
      <c r="Y927" s="1"/>
    </row>
    <row r="928" spans="1:25">
      <c r="A928" s="9"/>
      <c r="B928" s="8"/>
      <c r="C928" s="114"/>
      <c r="D928" s="3"/>
      <c r="E928" s="3"/>
      <c r="F928" s="1"/>
      <c r="G928" s="1"/>
      <c r="H928" s="1"/>
      <c r="I928" s="1"/>
      <c r="J928" s="1"/>
      <c r="K928" s="1"/>
      <c r="L928" s="1"/>
      <c r="M928" s="1"/>
      <c r="N928" s="1"/>
      <c r="O928" s="1"/>
      <c r="P928" s="1"/>
      <c r="Q928" s="1"/>
      <c r="R928" s="1"/>
      <c r="S928" s="1"/>
      <c r="T928" s="1"/>
      <c r="U928" s="1"/>
      <c r="V928" s="1"/>
      <c r="W928" s="1"/>
      <c r="X928" s="1"/>
      <c r="Y928" s="1"/>
    </row>
    <row r="929" spans="1:25">
      <c r="A929" s="9"/>
      <c r="B929" s="8"/>
      <c r="C929" s="114"/>
      <c r="D929" s="3"/>
      <c r="E929" s="3"/>
      <c r="F929" s="1"/>
      <c r="G929" s="1"/>
      <c r="H929" s="1"/>
      <c r="I929" s="1"/>
      <c r="J929" s="1"/>
      <c r="K929" s="1"/>
      <c r="L929" s="1"/>
      <c r="M929" s="1"/>
      <c r="N929" s="1"/>
      <c r="O929" s="1"/>
      <c r="P929" s="1"/>
      <c r="Q929" s="1"/>
      <c r="R929" s="1"/>
      <c r="S929" s="1"/>
      <c r="T929" s="1"/>
      <c r="U929" s="1"/>
      <c r="V929" s="1"/>
      <c r="W929" s="1"/>
      <c r="X929" s="1"/>
      <c r="Y929" s="1"/>
    </row>
    <row r="930" spans="1:25">
      <c r="A930" s="9"/>
      <c r="B930" s="8"/>
      <c r="C930" s="114"/>
      <c r="D930" s="3"/>
      <c r="E930" s="3"/>
      <c r="F930" s="1"/>
      <c r="G930" s="1"/>
      <c r="H930" s="1"/>
      <c r="I930" s="1"/>
      <c r="J930" s="1"/>
      <c r="K930" s="1"/>
      <c r="L930" s="1"/>
      <c r="M930" s="1"/>
      <c r="N930" s="1"/>
      <c r="O930" s="1"/>
      <c r="P930" s="1"/>
      <c r="Q930" s="1"/>
      <c r="R930" s="1"/>
      <c r="S930" s="1"/>
      <c r="T930" s="1"/>
      <c r="U930" s="1"/>
      <c r="V930" s="1"/>
      <c r="W930" s="1"/>
      <c r="X930" s="1"/>
      <c r="Y930" s="1"/>
    </row>
    <row r="931" spans="1:25">
      <c r="A931" s="9"/>
      <c r="B931" s="8"/>
      <c r="C931" s="114"/>
      <c r="D931" s="3"/>
      <c r="E931" s="3"/>
      <c r="F931" s="1"/>
      <c r="G931" s="1"/>
      <c r="H931" s="1"/>
      <c r="I931" s="1"/>
      <c r="J931" s="1"/>
      <c r="K931" s="1"/>
      <c r="L931" s="1"/>
      <c r="M931" s="1"/>
      <c r="N931" s="1"/>
      <c r="O931" s="1"/>
      <c r="P931" s="1"/>
      <c r="Q931" s="1"/>
      <c r="R931" s="1"/>
      <c r="S931" s="1"/>
      <c r="T931" s="1"/>
      <c r="U931" s="1"/>
      <c r="V931" s="1"/>
      <c r="W931" s="1"/>
      <c r="X931" s="1"/>
      <c r="Y931" s="1"/>
    </row>
    <row r="932" spans="1:25">
      <c r="A932" s="9"/>
      <c r="B932" s="8"/>
      <c r="C932" s="114"/>
      <c r="D932" s="3"/>
      <c r="E932" s="3"/>
      <c r="F932" s="1"/>
      <c r="G932" s="1"/>
      <c r="H932" s="1"/>
      <c r="I932" s="1"/>
      <c r="J932" s="1"/>
      <c r="K932" s="1"/>
      <c r="L932" s="1"/>
      <c r="M932" s="1"/>
      <c r="N932" s="1"/>
      <c r="O932" s="1"/>
      <c r="P932" s="1"/>
      <c r="Q932" s="1"/>
      <c r="R932" s="1"/>
      <c r="S932" s="1"/>
      <c r="T932" s="1"/>
      <c r="U932" s="1"/>
      <c r="V932" s="1"/>
      <c r="W932" s="1"/>
      <c r="X932" s="1"/>
      <c r="Y932" s="1"/>
    </row>
    <row r="933" spans="1:25">
      <c r="A933" s="9"/>
      <c r="B933" s="8"/>
      <c r="C933" s="114"/>
      <c r="D933" s="3"/>
      <c r="E933" s="3"/>
      <c r="F933" s="1"/>
      <c r="G933" s="1"/>
      <c r="H933" s="1"/>
      <c r="I933" s="1"/>
      <c r="J933" s="1"/>
      <c r="K933" s="1"/>
      <c r="L933" s="1"/>
      <c r="M933" s="1"/>
      <c r="N933" s="1"/>
      <c r="O933" s="1"/>
      <c r="P933" s="1"/>
      <c r="Q933" s="1"/>
      <c r="R933" s="1"/>
      <c r="S933" s="1"/>
      <c r="T933" s="1"/>
      <c r="U933" s="1"/>
      <c r="V933" s="1"/>
      <c r="W933" s="1"/>
      <c r="X933" s="1"/>
      <c r="Y933" s="1"/>
    </row>
    <row r="934" spans="1:25">
      <c r="A934" s="9"/>
      <c r="B934" s="8"/>
      <c r="C934" s="114"/>
      <c r="D934" s="3"/>
      <c r="E934" s="3"/>
      <c r="F934" s="1"/>
      <c r="G934" s="1"/>
      <c r="H934" s="1"/>
      <c r="I934" s="1"/>
      <c r="J934" s="1"/>
      <c r="K934" s="1"/>
      <c r="L934" s="1"/>
      <c r="M934" s="1"/>
      <c r="N934" s="1"/>
      <c r="O934" s="1"/>
      <c r="P934" s="1"/>
      <c r="Q934" s="1"/>
      <c r="R934" s="1"/>
      <c r="S934" s="1"/>
      <c r="T934" s="1"/>
      <c r="U934" s="1"/>
      <c r="V934" s="1"/>
      <c r="W934" s="1"/>
      <c r="X934" s="1"/>
      <c r="Y934" s="1"/>
    </row>
    <row r="935" spans="1:25">
      <c r="A935" s="9"/>
      <c r="B935" s="8"/>
      <c r="C935" s="114"/>
      <c r="D935" s="3"/>
      <c r="E935" s="3"/>
      <c r="F935" s="1"/>
      <c r="G935" s="1"/>
      <c r="H935" s="1"/>
      <c r="I935" s="1"/>
      <c r="J935" s="1"/>
      <c r="K935" s="1"/>
      <c r="L935" s="1"/>
      <c r="M935" s="1"/>
      <c r="N935" s="1"/>
      <c r="O935" s="1"/>
      <c r="P935" s="1"/>
      <c r="Q935" s="1"/>
      <c r="R935" s="1"/>
      <c r="S935" s="1"/>
      <c r="T935" s="1"/>
      <c r="U935" s="1"/>
      <c r="V935" s="1"/>
      <c r="W935" s="1"/>
      <c r="X935" s="1"/>
      <c r="Y935" s="1"/>
    </row>
    <row r="936" spans="1:25">
      <c r="A936" s="9"/>
      <c r="B936" s="8"/>
      <c r="C936" s="114"/>
      <c r="D936" s="3"/>
      <c r="E936" s="3"/>
      <c r="F936" s="1"/>
      <c r="G936" s="1"/>
      <c r="H936" s="1"/>
      <c r="I936" s="1"/>
      <c r="J936" s="1"/>
      <c r="K936" s="1"/>
      <c r="L936" s="1"/>
      <c r="M936" s="1"/>
      <c r="N936" s="1"/>
      <c r="O936" s="1"/>
      <c r="P936" s="1"/>
      <c r="Q936" s="1"/>
      <c r="R936" s="1"/>
      <c r="S936" s="1"/>
      <c r="T936" s="1"/>
      <c r="U936" s="1"/>
      <c r="V936" s="1"/>
      <c r="W936" s="1"/>
      <c r="X936" s="1"/>
      <c r="Y936" s="1"/>
    </row>
    <row r="937" spans="1:25">
      <c r="A937" s="9"/>
      <c r="B937" s="8"/>
      <c r="C937" s="114"/>
      <c r="D937" s="3"/>
      <c r="E937" s="3"/>
      <c r="F937" s="1"/>
      <c r="G937" s="1"/>
      <c r="H937" s="1"/>
      <c r="I937" s="1"/>
      <c r="J937" s="1"/>
      <c r="K937" s="1"/>
      <c r="L937" s="1"/>
      <c r="M937" s="1"/>
      <c r="N937" s="1"/>
      <c r="O937" s="1"/>
      <c r="P937" s="1"/>
      <c r="Q937" s="1"/>
      <c r="R937" s="1"/>
      <c r="S937" s="1"/>
      <c r="T937" s="1"/>
      <c r="U937" s="1"/>
      <c r="V937" s="1"/>
      <c r="W937" s="1"/>
      <c r="X937" s="1"/>
      <c r="Y937" s="1"/>
    </row>
    <row r="938" spans="1:25">
      <c r="A938" s="9"/>
      <c r="B938" s="8"/>
      <c r="C938" s="114"/>
      <c r="D938" s="3"/>
      <c r="E938" s="3"/>
      <c r="F938" s="1"/>
      <c r="G938" s="1"/>
      <c r="H938" s="1"/>
      <c r="I938" s="1"/>
      <c r="J938" s="1"/>
      <c r="K938" s="1"/>
      <c r="L938" s="1"/>
      <c r="M938" s="1"/>
      <c r="N938" s="1"/>
      <c r="O938" s="1"/>
      <c r="P938" s="1"/>
      <c r="Q938" s="1"/>
      <c r="R938" s="1"/>
      <c r="S938" s="1"/>
      <c r="T938" s="1"/>
      <c r="U938" s="1"/>
      <c r="V938" s="1"/>
      <c r="W938" s="1"/>
      <c r="X938" s="1"/>
      <c r="Y938" s="1"/>
    </row>
    <row r="939" spans="1:25">
      <c r="A939" s="9"/>
      <c r="B939" s="8"/>
      <c r="C939" s="114"/>
      <c r="D939" s="3"/>
      <c r="E939" s="3"/>
      <c r="F939" s="1"/>
      <c r="G939" s="1"/>
      <c r="H939" s="1"/>
      <c r="I939" s="1"/>
      <c r="J939" s="1"/>
      <c r="K939" s="1"/>
      <c r="L939" s="1"/>
      <c r="M939" s="1"/>
      <c r="N939" s="1"/>
      <c r="O939" s="1"/>
      <c r="P939" s="1"/>
      <c r="Q939" s="1"/>
      <c r="R939" s="1"/>
      <c r="S939" s="1"/>
      <c r="T939" s="1"/>
      <c r="U939" s="1"/>
      <c r="V939" s="1"/>
      <c r="W939" s="1"/>
      <c r="X939" s="1"/>
      <c r="Y939" s="1"/>
    </row>
    <row r="940" spans="1:25">
      <c r="A940" s="9"/>
      <c r="B940" s="8"/>
      <c r="C940" s="114"/>
      <c r="D940" s="3"/>
      <c r="E940" s="3"/>
      <c r="F940" s="1"/>
      <c r="G940" s="1"/>
      <c r="H940" s="1"/>
      <c r="I940" s="1"/>
      <c r="J940" s="1"/>
      <c r="K940" s="1"/>
      <c r="L940" s="1"/>
      <c r="M940" s="1"/>
      <c r="N940" s="1"/>
      <c r="O940" s="1"/>
      <c r="P940" s="1"/>
      <c r="Q940" s="1"/>
      <c r="R940" s="1"/>
      <c r="S940" s="1"/>
      <c r="T940" s="1"/>
      <c r="U940" s="1"/>
      <c r="V940" s="1"/>
      <c r="W940" s="1"/>
      <c r="X940" s="1"/>
      <c r="Y940" s="1"/>
    </row>
    <row r="941" spans="1:25">
      <c r="A941" s="9"/>
      <c r="B941" s="8"/>
      <c r="C941" s="114"/>
      <c r="D941" s="3"/>
      <c r="E941" s="3"/>
      <c r="F941" s="1"/>
      <c r="G941" s="1"/>
      <c r="H941" s="1"/>
      <c r="I941" s="1"/>
      <c r="J941" s="1"/>
      <c r="K941" s="1"/>
      <c r="L941" s="1"/>
      <c r="M941" s="1"/>
      <c r="N941" s="1"/>
      <c r="O941" s="1"/>
      <c r="P941" s="1"/>
      <c r="Q941" s="1"/>
      <c r="R941" s="1"/>
      <c r="S941" s="1"/>
      <c r="T941" s="1"/>
      <c r="U941" s="1"/>
      <c r="V941" s="1"/>
      <c r="W941" s="1"/>
      <c r="X941" s="1"/>
      <c r="Y941" s="1"/>
    </row>
    <row r="942" spans="1:25">
      <c r="A942" s="9"/>
      <c r="B942" s="8"/>
      <c r="C942" s="114"/>
      <c r="D942" s="3"/>
      <c r="E942" s="3"/>
      <c r="F942" s="1"/>
      <c r="G942" s="1"/>
      <c r="H942" s="1"/>
      <c r="I942" s="1"/>
      <c r="J942" s="1"/>
      <c r="K942" s="1"/>
      <c r="L942" s="1"/>
      <c r="M942" s="1"/>
      <c r="N942" s="1"/>
      <c r="O942" s="1"/>
      <c r="P942" s="1"/>
      <c r="Q942" s="1"/>
      <c r="R942" s="1"/>
      <c r="S942" s="1"/>
      <c r="T942" s="1"/>
      <c r="U942" s="1"/>
      <c r="V942" s="1"/>
      <c r="W942" s="1"/>
      <c r="X942" s="1"/>
      <c r="Y942" s="1"/>
    </row>
    <row r="943" spans="1:25">
      <c r="A943" s="9"/>
      <c r="B943" s="8"/>
      <c r="C943" s="114"/>
      <c r="D943" s="3"/>
      <c r="E943" s="3"/>
      <c r="F943" s="1"/>
      <c r="G943" s="1"/>
      <c r="H943" s="1"/>
      <c r="I943" s="1"/>
      <c r="J943" s="1"/>
      <c r="K943" s="1"/>
      <c r="L943" s="1"/>
      <c r="M943" s="1"/>
      <c r="N943" s="1"/>
      <c r="O943" s="1"/>
      <c r="P943" s="1"/>
      <c r="Q943" s="1"/>
      <c r="R943" s="1"/>
      <c r="S943" s="1"/>
      <c r="T943" s="1"/>
      <c r="U943" s="1"/>
      <c r="V943" s="1"/>
      <c r="W943" s="1"/>
      <c r="X943" s="1"/>
      <c r="Y943" s="1"/>
    </row>
    <row r="944" spans="1:25">
      <c r="A944" s="9"/>
      <c r="B944" s="8"/>
      <c r="C944" s="114"/>
      <c r="D944" s="3"/>
      <c r="E944" s="3"/>
      <c r="F944" s="1"/>
      <c r="G944" s="1"/>
      <c r="H944" s="1"/>
      <c r="I944" s="1"/>
      <c r="J944" s="1"/>
      <c r="K944" s="1"/>
      <c r="L944" s="1"/>
      <c r="M944" s="1"/>
      <c r="N944" s="1"/>
      <c r="O944" s="1"/>
      <c r="P944" s="1"/>
      <c r="Q944" s="1"/>
      <c r="R944" s="1"/>
      <c r="S944" s="1"/>
      <c r="T944" s="1"/>
      <c r="U944" s="1"/>
      <c r="V944" s="1"/>
      <c r="W944" s="1"/>
      <c r="X944" s="1"/>
      <c r="Y944" s="1"/>
    </row>
    <row r="945" spans="1:25">
      <c r="A945" s="9"/>
      <c r="B945" s="8"/>
      <c r="C945" s="114"/>
      <c r="D945" s="3"/>
      <c r="E945" s="3"/>
      <c r="F945" s="1"/>
      <c r="G945" s="1"/>
      <c r="H945" s="1"/>
      <c r="I945" s="1"/>
      <c r="J945" s="1"/>
      <c r="K945" s="1"/>
      <c r="L945" s="1"/>
      <c r="M945" s="1"/>
      <c r="N945" s="1"/>
      <c r="O945" s="1"/>
      <c r="P945" s="1"/>
      <c r="Q945" s="1"/>
      <c r="R945" s="1"/>
      <c r="S945" s="1"/>
      <c r="T945" s="1"/>
      <c r="U945" s="1"/>
      <c r="V945" s="1"/>
      <c r="W945" s="1"/>
      <c r="X945" s="1"/>
      <c r="Y945" s="1"/>
    </row>
    <row r="946" spans="1:25">
      <c r="A946" s="9"/>
      <c r="B946" s="8"/>
      <c r="C946" s="114"/>
      <c r="D946" s="3"/>
      <c r="E946" s="3"/>
      <c r="F946" s="1"/>
      <c r="G946" s="1"/>
      <c r="H946" s="1"/>
      <c r="I946" s="1"/>
      <c r="J946" s="1"/>
      <c r="K946" s="1"/>
      <c r="L946" s="1"/>
      <c r="M946" s="1"/>
      <c r="N946" s="1"/>
      <c r="O946" s="1"/>
      <c r="P946" s="1"/>
      <c r="Q946" s="1"/>
      <c r="R946" s="1"/>
      <c r="S946" s="1"/>
      <c r="T946" s="1"/>
      <c r="U946" s="1"/>
      <c r="V946" s="1"/>
      <c r="W946" s="1"/>
      <c r="X946" s="1"/>
      <c r="Y946" s="1"/>
    </row>
    <row r="947" spans="1:25">
      <c r="A947" s="9"/>
      <c r="B947" s="8"/>
      <c r="C947" s="114"/>
      <c r="D947" s="3"/>
      <c r="E947" s="3"/>
      <c r="F947" s="1"/>
      <c r="G947" s="1"/>
      <c r="H947" s="1"/>
      <c r="I947" s="1"/>
      <c r="J947" s="1"/>
      <c r="K947" s="1"/>
      <c r="L947" s="1"/>
      <c r="M947" s="1"/>
      <c r="N947" s="1"/>
      <c r="O947" s="1"/>
      <c r="P947" s="1"/>
      <c r="Q947" s="1"/>
      <c r="R947" s="1"/>
      <c r="S947" s="1"/>
      <c r="T947" s="1"/>
      <c r="U947" s="1"/>
      <c r="V947" s="1"/>
      <c r="W947" s="1"/>
      <c r="X947" s="1"/>
      <c r="Y947" s="1"/>
    </row>
    <row r="948" spans="1:25">
      <c r="A948" s="9"/>
      <c r="B948" s="8"/>
      <c r="C948" s="114"/>
      <c r="D948" s="3"/>
      <c r="E948" s="3"/>
      <c r="F948" s="1"/>
      <c r="G948" s="1"/>
      <c r="H948" s="1"/>
      <c r="I948" s="1"/>
      <c r="J948" s="1"/>
      <c r="K948" s="1"/>
      <c r="L948" s="1"/>
      <c r="M948" s="1"/>
      <c r="N948" s="1"/>
      <c r="O948" s="1"/>
      <c r="P948" s="1"/>
      <c r="Q948" s="1"/>
      <c r="R948" s="1"/>
      <c r="S948" s="1"/>
      <c r="T948" s="1"/>
      <c r="U948" s="1"/>
      <c r="V948" s="1"/>
      <c r="W948" s="1"/>
      <c r="X948" s="1"/>
      <c r="Y948" s="1"/>
    </row>
    <row r="949" spans="1:25">
      <c r="A949" s="9"/>
      <c r="B949" s="8"/>
      <c r="C949" s="114"/>
      <c r="D949" s="3"/>
      <c r="E949" s="3"/>
      <c r="F949" s="1"/>
      <c r="G949" s="1"/>
      <c r="H949" s="1"/>
      <c r="I949" s="1"/>
      <c r="J949" s="1"/>
      <c r="K949" s="1"/>
      <c r="L949" s="1"/>
      <c r="M949" s="1"/>
      <c r="N949" s="1"/>
      <c r="O949" s="1"/>
      <c r="P949" s="1"/>
      <c r="Q949" s="1"/>
      <c r="R949" s="1"/>
      <c r="S949" s="1"/>
      <c r="T949" s="1"/>
      <c r="U949" s="1"/>
      <c r="V949" s="1"/>
      <c r="W949" s="1"/>
      <c r="X949" s="1"/>
      <c r="Y949" s="1"/>
    </row>
    <row r="950" spans="1:25">
      <c r="A950" s="9"/>
      <c r="B950" s="8"/>
      <c r="C950" s="114"/>
      <c r="D950" s="3"/>
      <c r="E950" s="3"/>
      <c r="F950" s="1"/>
      <c r="G950" s="1"/>
      <c r="H950" s="1"/>
      <c r="I950" s="1"/>
      <c r="J950" s="1"/>
      <c r="K950" s="1"/>
      <c r="L950" s="1"/>
      <c r="M950" s="1"/>
      <c r="N950" s="1"/>
      <c r="O950" s="1"/>
      <c r="P950" s="1"/>
      <c r="Q950" s="1"/>
      <c r="R950" s="1"/>
      <c r="S950" s="1"/>
      <c r="T950" s="1"/>
      <c r="U950" s="1"/>
      <c r="V950" s="1"/>
      <c r="W950" s="1"/>
      <c r="X950" s="1"/>
      <c r="Y950" s="1"/>
    </row>
    <row r="951" spans="1:25">
      <c r="A951" s="9"/>
      <c r="B951" s="8"/>
      <c r="C951" s="114"/>
      <c r="D951" s="3"/>
      <c r="E951" s="3"/>
      <c r="F951" s="1"/>
      <c r="G951" s="1"/>
      <c r="H951" s="1"/>
      <c r="I951" s="1"/>
      <c r="J951" s="1"/>
      <c r="K951" s="1"/>
      <c r="L951" s="1"/>
      <c r="M951" s="1"/>
      <c r="N951" s="1"/>
      <c r="O951" s="1"/>
      <c r="P951" s="1"/>
      <c r="Q951" s="1"/>
      <c r="R951" s="1"/>
      <c r="S951" s="1"/>
      <c r="T951" s="1"/>
      <c r="U951" s="1"/>
      <c r="V951" s="1"/>
      <c r="W951" s="1"/>
      <c r="X951" s="1"/>
      <c r="Y951" s="1"/>
    </row>
    <row r="952" spans="1:25">
      <c r="A952" s="9"/>
      <c r="B952" s="8"/>
      <c r="C952" s="114"/>
      <c r="D952" s="3"/>
      <c r="E952" s="3"/>
      <c r="F952" s="1"/>
      <c r="G952" s="1"/>
      <c r="H952" s="1"/>
      <c r="I952" s="1"/>
      <c r="J952" s="1"/>
      <c r="K952" s="1"/>
      <c r="L952" s="1"/>
      <c r="M952" s="1"/>
      <c r="N952" s="1"/>
      <c r="O952" s="1"/>
      <c r="P952" s="1"/>
      <c r="Q952" s="1"/>
      <c r="R952" s="1"/>
      <c r="S952" s="1"/>
      <c r="T952" s="1"/>
      <c r="U952" s="1"/>
      <c r="V952" s="1"/>
      <c r="W952" s="1"/>
      <c r="X952" s="1"/>
      <c r="Y952" s="1"/>
    </row>
    <row r="953" spans="1:25">
      <c r="A953" s="9"/>
      <c r="B953" s="8"/>
      <c r="C953" s="114"/>
      <c r="D953" s="3"/>
      <c r="E953" s="3"/>
      <c r="F953" s="1"/>
      <c r="G953" s="1"/>
      <c r="H953" s="1"/>
      <c r="I953" s="1"/>
      <c r="J953" s="1"/>
      <c r="K953" s="1"/>
      <c r="L953" s="1"/>
      <c r="M953" s="1"/>
      <c r="N953" s="1"/>
      <c r="O953" s="1"/>
      <c r="P953" s="1"/>
      <c r="Q953" s="1"/>
      <c r="R953" s="1"/>
      <c r="S953" s="1"/>
      <c r="T953" s="1"/>
      <c r="U953" s="1"/>
      <c r="V953" s="1"/>
      <c r="W953" s="1"/>
      <c r="X953" s="1"/>
      <c r="Y953" s="1"/>
    </row>
    <row r="954" spans="1:25">
      <c r="A954" s="9"/>
      <c r="B954" s="8"/>
      <c r="C954" s="114"/>
      <c r="D954" s="3"/>
      <c r="E954" s="3"/>
      <c r="F954" s="1"/>
      <c r="G954" s="1"/>
      <c r="H954" s="1"/>
      <c r="I954" s="1"/>
      <c r="J954" s="1"/>
      <c r="K954" s="1"/>
      <c r="L954" s="1"/>
      <c r="M954" s="1"/>
      <c r="N954" s="1"/>
      <c r="O954" s="1"/>
      <c r="P954" s="1"/>
      <c r="Q954" s="1"/>
      <c r="R954" s="1"/>
      <c r="S954" s="1"/>
      <c r="T954" s="1"/>
      <c r="U954" s="1"/>
      <c r="V954" s="1"/>
      <c r="W954" s="1"/>
      <c r="X954" s="1"/>
      <c r="Y954" s="1"/>
    </row>
    <row r="955" spans="1:25">
      <c r="A955" s="9"/>
      <c r="B955" s="8"/>
      <c r="C955" s="114"/>
      <c r="D955" s="3"/>
      <c r="E955" s="3"/>
      <c r="F955" s="1"/>
      <c r="G955" s="1"/>
      <c r="H955" s="1"/>
      <c r="I955" s="1"/>
      <c r="J955" s="1"/>
      <c r="K955" s="1"/>
      <c r="L955" s="1"/>
      <c r="M955" s="1"/>
      <c r="N955" s="1"/>
      <c r="O955" s="1"/>
      <c r="P955" s="1"/>
      <c r="Q955" s="1"/>
      <c r="R955" s="1"/>
      <c r="S955" s="1"/>
      <c r="T955" s="1"/>
      <c r="U955" s="1"/>
      <c r="V955" s="1"/>
      <c r="W955" s="1"/>
      <c r="X955" s="1"/>
      <c r="Y955" s="1"/>
    </row>
    <row r="956" spans="1:25">
      <c r="A956" s="9"/>
      <c r="B956" s="8"/>
      <c r="C956" s="114"/>
      <c r="D956" s="3"/>
      <c r="E956" s="3"/>
      <c r="F956" s="1"/>
      <c r="G956" s="1"/>
      <c r="H956" s="1"/>
      <c r="I956" s="1"/>
      <c r="J956" s="1"/>
      <c r="K956" s="1"/>
      <c r="L956" s="1"/>
      <c r="M956" s="1"/>
      <c r="N956" s="1"/>
      <c r="O956" s="1"/>
      <c r="P956" s="1"/>
      <c r="Q956" s="1"/>
      <c r="R956" s="1"/>
      <c r="S956" s="1"/>
      <c r="T956" s="1"/>
      <c r="U956" s="1"/>
      <c r="V956" s="1"/>
      <c r="W956" s="1"/>
      <c r="X956" s="1"/>
      <c r="Y956" s="1"/>
    </row>
    <row r="957" spans="1:25">
      <c r="A957" s="9"/>
      <c r="B957" s="8"/>
      <c r="C957" s="114"/>
      <c r="D957" s="3"/>
      <c r="E957" s="3"/>
      <c r="F957" s="1"/>
      <c r="G957" s="1"/>
      <c r="H957" s="1"/>
      <c r="I957" s="1"/>
      <c r="J957" s="1"/>
      <c r="K957" s="1"/>
      <c r="L957" s="1"/>
      <c r="M957" s="1"/>
      <c r="N957" s="1"/>
      <c r="O957" s="1"/>
      <c r="P957" s="1"/>
      <c r="Q957" s="1"/>
      <c r="R957" s="1"/>
      <c r="S957" s="1"/>
      <c r="T957" s="1"/>
      <c r="U957" s="1"/>
      <c r="V957" s="1"/>
      <c r="W957" s="1"/>
      <c r="X957" s="1"/>
      <c r="Y957" s="1"/>
    </row>
    <row r="958" spans="1:25">
      <c r="A958" s="9"/>
      <c r="B958" s="8"/>
      <c r="C958" s="114"/>
      <c r="D958" s="3"/>
      <c r="E958" s="3"/>
      <c r="F958" s="1"/>
      <c r="G958" s="1"/>
      <c r="H958" s="1"/>
      <c r="I958" s="1"/>
      <c r="J958" s="1"/>
      <c r="K958" s="1"/>
      <c r="L958" s="1"/>
      <c r="M958" s="1"/>
      <c r="N958" s="1"/>
      <c r="O958" s="1"/>
      <c r="P958" s="1"/>
      <c r="Q958" s="1"/>
      <c r="R958" s="1"/>
      <c r="S958" s="1"/>
      <c r="T958" s="1"/>
      <c r="U958" s="1"/>
      <c r="V958" s="1"/>
      <c r="W958" s="1"/>
      <c r="X958" s="1"/>
      <c r="Y958" s="1"/>
    </row>
    <row r="959" spans="1:25">
      <c r="A959" s="9"/>
      <c r="B959" s="8"/>
      <c r="C959" s="114"/>
      <c r="D959" s="3"/>
      <c r="E959" s="3"/>
      <c r="F959" s="1"/>
      <c r="G959" s="1"/>
      <c r="H959" s="1"/>
      <c r="I959" s="1"/>
      <c r="J959" s="1"/>
      <c r="K959" s="1"/>
      <c r="L959" s="1"/>
      <c r="M959" s="1"/>
      <c r="N959" s="1"/>
      <c r="O959" s="1"/>
      <c r="P959" s="1"/>
      <c r="Q959" s="1"/>
      <c r="R959" s="1"/>
      <c r="S959" s="1"/>
      <c r="T959" s="1"/>
      <c r="U959" s="1"/>
      <c r="V959" s="1"/>
      <c r="W959" s="1"/>
      <c r="X959" s="1"/>
      <c r="Y959" s="1"/>
    </row>
    <row r="960" spans="1:25">
      <c r="A960" s="9"/>
      <c r="B960" s="8"/>
      <c r="C960" s="114"/>
      <c r="D960" s="3"/>
      <c r="E960" s="3"/>
      <c r="F960" s="1"/>
      <c r="G960" s="1"/>
      <c r="H960" s="1"/>
      <c r="I960" s="1"/>
      <c r="J960" s="1"/>
      <c r="K960" s="1"/>
      <c r="L960" s="1"/>
      <c r="M960" s="1"/>
      <c r="N960" s="1"/>
      <c r="O960" s="1"/>
      <c r="P960" s="1"/>
      <c r="Q960" s="1"/>
      <c r="R960" s="1"/>
      <c r="S960" s="1"/>
      <c r="T960" s="1"/>
      <c r="U960" s="1"/>
      <c r="V960" s="1"/>
      <c r="W960" s="1"/>
      <c r="X960" s="1"/>
      <c r="Y960" s="1"/>
    </row>
    <row r="961" spans="1:25">
      <c r="A961" s="9"/>
      <c r="B961" s="8"/>
      <c r="C961" s="114"/>
      <c r="D961" s="3"/>
      <c r="E961" s="3"/>
      <c r="F961" s="1"/>
      <c r="G961" s="1"/>
      <c r="H961" s="1"/>
      <c r="I961" s="1"/>
      <c r="J961" s="1"/>
      <c r="K961" s="1"/>
      <c r="L961" s="1"/>
      <c r="M961" s="1"/>
      <c r="N961" s="1"/>
      <c r="O961" s="1"/>
      <c r="P961" s="1"/>
      <c r="Q961" s="1"/>
      <c r="R961" s="1"/>
      <c r="S961" s="1"/>
      <c r="T961" s="1"/>
      <c r="U961" s="1"/>
      <c r="V961" s="1"/>
      <c r="W961" s="1"/>
      <c r="X961" s="1"/>
      <c r="Y961" s="1"/>
    </row>
    <row r="962" spans="1:25">
      <c r="A962" s="9"/>
      <c r="B962" s="8"/>
      <c r="C962" s="114"/>
      <c r="D962" s="3"/>
      <c r="E962" s="3"/>
      <c r="F962" s="1"/>
      <c r="G962" s="1"/>
      <c r="H962" s="1"/>
      <c r="I962" s="1"/>
      <c r="J962" s="1"/>
      <c r="K962" s="1"/>
      <c r="L962" s="1"/>
      <c r="M962" s="1"/>
      <c r="N962" s="1"/>
      <c r="O962" s="1"/>
      <c r="P962" s="1"/>
      <c r="Q962" s="1"/>
      <c r="R962" s="1"/>
      <c r="S962" s="1"/>
      <c r="T962" s="1"/>
      <c r="U962" s="1"/>
      <c r="V962" s="1"/>
      <c r="W962" s="1"/>
      <c r="X962" s="1"/>
      <c r="Y962" s="1"/>
    </row>
    <row r="963" spans="1:25">
      <c r="A963" s="9"/>
      <c r="B963" s="8"/>
      <c r="C963" s="114"/>
      <c r="D963" s="3"/>
      <c r="E963" s="3"/>
      <c r="F963" s="1"/>
      <c r="G963" s="1"/>
      <c r="H963" s="1"/>
      <c r="I963" s="1"/>
      <c r="J963" s="1"/>
      <c r="K963" s="1"/>
      <c r="L963" s="1"/>
      <c r="M963" s="1"/>
      <c r="N963" s="1"/>
      <c r="O963" s="1"/>
      <c r="P963" s="1"/>
      <c r="Q963" s="1"/>
      <c r="R963" s="1"/>
      <c r="S963" s="1"/>
      <c r="T963" s="1"/>
      <c r="U963" s="1"/>
      <c r="V963" s="1"/>
      <c r="W963" s="1"/>
      <c r="X963" s="1"/>
      <c r="Y963" s="1"/>
    </row>
    <row r="964" spans="1:25">
      <c r="A964" s="9"/>
      <c r="B964" s="8"/>
      <c r="C964" s="114"/>
      <c r="D964" s="3"/>
      <c r="E964" s="3"/>
      <c r="F964" s="1"/>
      <c r="G964" s="1"/>
      <c r="H964" s="1"/>
      <c r="I964" s="1"/>
      <c r="J964" s="1"/>
      <c r="K964" s="1"/>
      <c r="L964" s="1"/>
      <c r="M964" s="1"/>
      <c r="N964" s="1"/>
      <c r="O964" s="1"/>
      <c r="P964" s="1"/>
      <c r="Q964" s="1"/>
      <c r="R964" s="1"/>
      <c r="S964" s="1"/>
      <c r="T964" s="1"/>
      <c r="U964" s="1"/>
      <c r="V964" s="1"/>
      <c r="W964" s="1"/>
      <c r="X964" s="1"/>
      <c r="Y964" s="1"/>
    </row>
    <row r="965" spans="1:25">
      <c r="A965" s="9"/>
      <c r="B965" s="8"/>
      <c r="C965" s="114"/>
      <c r="D965" s="3"/>
      <c r="E965" s="3"/>
      <c r="F965" s="1"/>
      <c r="G965" s="1"/>
      <c r="H965" s="1"/>
      <c r="I965" s="1"/>
      <c r="J965" s="1"/>
      <c r="K965" s="1"/>
      <c r="L965" s="1"/>
      <c r="M965" s="1"/>
      <c r="N965" s="1"/>
      <c r="O965" s="1"/>
      <c r="P965" s="1"/>
      <c r="Q965" s="1"/>
      <c r="R965" s="1"/>
      <c r="S965" s="1"/>
      <c r="T965" s="1"/>
      <c r="U965" s="1"/>
      <c r="V965" s="1"/>
      <c r="W965" s="1"/>
      <c r="X965" s="1"/>
      <c r="Y965" s="1"/>
    </row>
    <row r="966" spans="1:25">
      <c r="A966" s="9"/>
      <c r="B966" s="8"/>
      <c r="C966" s="114"/>
      <c r="D966" s="3"/>
      <c r="E966" s="3"/>
      <c r="F966" s="1"/>
      <c r="G966" s="1"/>
      <c r="H966" s="1"/>
      <c r="I966" s="1"/>
      <c r="J966" s="1"/>
      <c r="K966" s="1"/>
      <c r="L966" s="1"/>
      <c r="M966" s="1"/>
      <c r="N966" s="1"/>
      <c r="O966" s="1"/>
      <c r="P966" s="1"/>
      <c r="Q966" s="1"/>
      <c r="R966" s="1"/>
      <c r="S966" s="1"/>
      <c r="T966" s="1"/>
      <c r="U966" s="1"/>
      <c r="V966" s="1"/>
      <c r="W966" s="1"/>
      <c r="X966" s="1"/>
      <c r="Y966" s="1"/>
    </row>
    <row r="967" spans="1:25">
      <c r="A967" s="9"/>
      <c r="B967" s="8"/>
      <c r="C967" s="114"/>
      <c r="D967" s="3"/>
      <c r="E967" s="3"/>
      <c r="F967" s="1"/>
      <c r="G967" s="1"/>
      <c r="H967" s="1"/>
      <c r="I967" s="1"/>
      <c r="J967" s="1"/>
      <c r="K967" s="1"/>
      <c r="L967" s="1"/>
      <c r="M967" s="1"/>
      <c r="N967" s="1"/>
      <c r="O967" s="1"/>
      <c r="P967" s="1"/>
      <c r="Q967" s="1"/>
      <c r="R967" s="1"/>
      <c r="S967" s="1"/>
      <c r="T967" s="1"/>
      <c r="U967" s="1"/>
      <c r="V967" s="1"/>
      <c r="W967" s="1"/>
      <c r="X967" s="1"/>
      <c r="Y967" s="1"/>
    </row>
    <row r="968" spans="1:25">
      <c r="A968" s="9"/>
      <c r="B968" s="8"/>
      <c r="C968" s="114"/>
      <c r="D968" s="3"/>
      <c r="E968" s="3"/>
      <c r="F968" s="1"/>
      <c r="G968" s="1"/>
      <c r="H968" s="1"/>
      <c r="I968" s="1"/>
      <c r="J968" s="1"/>
      <c r="K968" s="1"/>
      <c r="L968" s="1"/>
      <c r="M968" s="1"/>
      <c r="N968" s="1"/>
      <c r="O968" s="1"/>
      <c r="P968" s="1"/>
      <c r="Q968" s="1"/>
      <c r="R968" s="1"/>
      <c r="S968" s="1"/>
      <c r="T968" s="1"/>
      <c r="U968" s="1"/>
      <c r="V968" s="1"/>
      <c r="W968" s="1"/>
      <c r="X968" s="1"/>
      <c r="Y968" s="1"/>
    </row>
    <row r="969" spans="1:25">
      <c r="A969" s="9"/>
      <c r="B969" s="8"/>
      <c r="C969" s="114"/>
      <c r="D969" s="3"/>
      <c r="E969" s="3"/>
      <c r="F969" s="1"/>
      <c r="G969" s="1"/>
      <c r="H969" s="1"/>
      <c r="I969" s="1"/>
      <c r="J969" s="1"/>
      <c r="K969" s="1"/>
      <c r="L969" s="1"/>
      <c r="M969" s="1"/>
      <c r="N969" s="1"/>
      <c r="O969" s="1"/>
      <c r="P969" s="1"/>
      <c r="Q969" s="1"/>
      <c r="R969" s="1"/>
      <c r="S969" s="1"/>
      <c r="T969" s="1"/>
      <c r="U969" s="1"/>
      <c r="V969" s="1"/>
      <c r="W969" s="1"/>
      <c r="X969" s="1"/>
      <c r="Y969" s="1"/>
    </row>
    <row r="970" spans="1:25">
      <c r="A970" s="9"/>
      <c r="B970" s="8"/>
      <c r="C970" s="114"/>
      <c r="D970" s="3"/>
      <c r="E970" s="3"/>
      <c r="F970" s="1"/>
      <c r="G970" s="1"/>
      <c r="H970" s="1"/>
      <c r="I970" s="1"/>
      <c r="J970" s="1"/>
      <c r="K970" s="1"/>
      <c r="L970" s="1"/>
      <c r="M970" s="1"/>
      <c r="N970" s="1"/>
      <c r="O970" s="1"/>
      <c r="P970" s="1"/>
      <c r="Q970" s="1"/>
      <c r="R970" s="1"/>
      <c r="S970" s="1"/>
      <c r="T970" s="1"/>
      <c r="U970" s="1"/>
      <c r="V970" s="1"/>
      <c r="W970" s="1"/>
      <c r="X970" s="1"/>
      <c r="Y970" s="1"/>
    </row>
    <row r="971" spans="1:25">
      <c r="A971" s="9"/>
      <c r="B971" s="8"/>
      <c r="C971" s="114"/>
      <c r="D971" s="3"/>
      <c r="E971" s="3"/>
      <c r="F971" s="1"/>
      <c r="G971" s="1"/>
      <c r="H971" s="1"/>
      <c r="I971" s="1"/>
      <c r="J971" s="1"/>
      <c r="K971" s="1"/>
      <c r="L971" s="1"/>
      <c r="M971" s="1"/>
      <c r="N971" s="1"/>
      <c r="O971" s="1"/>
      <c r="P971" s="1"/>
      <c r="Q971" s="1"/>
      <c r="R971" s="1"/>
      <c r="S971" s="1"/>
      <c r="T971" s="1"/>
      <c r="U971" s="1"/>
      <c r="V971" s="1"/>
      <c r="W971" s="1"/>
      <c r="X971" s="1"/>
      <c r="Y971" s="1"/>
    </row>
    <row r="972" spans="1:25">
      <c r="A972" s="9"/>
      <c r="B972" s="8"/>
      <c r="C972" s="114"/>
      <c r="D972" s="3"/>
      <c r="E972" s="3"/>
      <c r="F972" s="1"/>
      <c r="G972" s="1"/>
      <c r="H972" s="1"/>
      <c r="I972" s="1"/>
      <c r="J972" s="1"/>
      <c r="K972" s="1"/>
      <c r="L972" s="1"/>
      <c r="M972" s="1"/>
      <c r="N972" s="1"/>
      <c r="O972" s="1"/>
      <c r="P972" s="1"/>
      <c r="Q972" s="1"/>
      <c r="R972" s="1"/>
      <c r="S972" s="1"/>
      <c r="T972" s="1"/>
      <c r="U972" s="1"/>
      <c r="V972" s="1"/>
      <c r="W972" s="1"/>
      <c r="X972" s="1"/>
      <c r="Y972" s="1"/>
    </row>
    <row r="973" spans="1:25">
      <c r="A973" s="9"/>
      <c r="B973" s="8"/>
      <c r="C973" s="114"/>
      <c r="D973" s="3"/>
      <c r="E973" s="3"/>
      <c r="F973" s="1"/>
      <c r="G973" s="1"/>
      <c r="H973" s="1"/>
      <c r="I973" s="1"/>
      <c r="J973" s="1"/>
      <c r="K973" s="1"/>
      <c r="L973" s="1"/>
      <c r="M973" s="1"/>
      <c r="N973" s="1"/>
      <c r="O973" s="1"/>
      <c r="P973" s="1"/>
      <c r="Q973" s="1"/>
      <c r="R973" s="1"/>
      <c r="S973" s="1"/>
      <c r="T973" s="1"/>
      <c r="U973" s="1"/>
      <c r="V973" s="1"/>
      <c r="W973" s="1"/>
      <c r="X973" s="1"/>
      <c r="Y973" s="1"/>
    </row>
    <row r="974" spans="1:25">
      <c r="A974" s="9"/>
      <c r="B974" s="8"/>
      <c r="C974" s="114"/>
      <c r="D974" s="3"/>
      <c r="E974" s="3"/>
      <c r="F974" s="1"/>
      <c r="G974" s="1"/>
      <c r="H974" s="1"/>
      <c r="I974" s="1"/>
      <c r="J974" s="1"/>
      <c r="K974" s="1"/>
      <c r="L974" s="1"/>
      <c r="M974" s="1"/>
      <c r="N974" s="1"/>
      <c r="O974" s="1"/>
      <c r="P974" s="1"/>
      <c r="Q974" s="1"/>
      <c r="R974" s="1"/>
      <c r="S974" s="1"/>
      <c r="T974" s="1"/>
      <c r="U974" s="1"/>
      <c r="V974" s="1"/>
      <c r="W974" s="1"/>
      <c r="X974" s="1"/>
      <c r="Y974" s="1"/>
    </row>
    <row r="975" spans="1:25">
      <c r="A975" s="9"/>
      <c r="B975" s="8"/>
      <c r="C975" s="114"/>
      <c r="D975" s="3"/>
      <c r="E975" s="3"/>
      <c r="F975" s="1"/>
      <c r="G975" s="1"/>
      <c r="H975" s="1"/>
      <c r="I975" s="1"/>
      <c r="J975" s="1"/>
      <c r="K975" s="1"/>
      <c r="L975" s="1"/>
      <c r="M975" s="1"/>
      <c r="N975" s="1"/>
      <c r="O975" s="1"/>
      <c r="P975" s="1"/>
      <c r="Q975" s="1"/>
      <c r="R975" s="1"/>
      <c r="S975" s="1"/>
      <c r="T975" s="1"/>
      <c r="U975" s="1"/>
      <c r="V975" s="1"/>
      <c r="W975" s="1"/>
      <c r="X975" s="1"/>
      <c r="Y975" s="1"/>
    </row>
    <row r="976" spans="1:25">
      <c r="A976" s="9"/>
      <c r="B976" s="8"/>
      <c r="C976" s="114"/>
      <c r="D976" s="3"/>
      <c r="E976" s="3"/>
      <c r="F976" s="1"/>
      <c r="G976" s="1"/>
      <c r="H976" s="1"/>
      <c r="I976" s="1"/>
      <c r="J976" s="1"/>
      <c r="K976" s="1"/>
      <c r="L976" s="1"/>
      <c r="M976" s="1"/>
      <c r="N976" s="1"/>
      <c r="O976" s="1"/>
      <c r="P976" s="1"/>
      <c r="Q976" s="1"/>
      <c r="R976" s="1"/>
      <c r="S976" s="1"/>
      <c r="T976" s="1"/>
      <c r="U976" s="1"/>
      <c r="V976" s="1"/>
      <c r="W976" s="1"/>
      <c r="X976" s="1"/>
      <c r="Y976" s="1"/>
    </row>
    <row r="977" spans="1:25">
      <c r="A977" s="9"/>
      <c r="B977" s="8"/>
      <c r="C977" s="114"/>
      <c r="D977" s="3"/>
      <c r="E977" s="3"/>
      <c r="F977" s="1"/>
      <c r="G977" s="1"/>
      <c r="H977" s="1"/>
      <c r="I977" s="1"/>
      <c r="J977" s="1"/>
      <c r="K977" s="1"/>
      <c r="L977" s="1"/>
      <c r="M977" s="1"/>
      <c r="N977" s="1"/>
      <c r="O977" s="1"/>
      <c r="P977" s="1"/>
      <c r="Q977" s="1"/>
      <c r="R977" s="1"/>
      <c r="S977" s="1"/>
      <c r="T977" s="1"/>
      <c r="U977" s="1"/>
      <c r="V977" s="1"/>
      <c r="W977" s="1"/>
      <c r="X977" s="1"/>
      <c r="Y977" s="1"/>
    </row>
    <row r="978" spans="1:25">
      <c r="A978" s="9"/>
      <c r="B978" s="8"/>
      <c r="C978" s="114"/>
      <c r="D978" s="3"/>
      <c r="E978" s="3"/>
      <c r="F978" s="1"/>
      <c r="G978" s="1"/>
      <c r="H978" s="1"/>
      <c r="I978" s="1"/>
      <c r="J978" s="1"/>
      <c r="K978" s="1"/>
      <c r="L978" s="1"/>
      <c r="M978" s="1"/>
      <c r="N978" s="1"/>
      <c r="O978" s="1"/>
      <c r="P978" s="1"/>
      <c r="Q978" s="1"/>
      <c r="R978" s="1"/>
      <c r="S978" s="1"/>
      <c r="T978" s="1"/>
      <c r="U978" s="1"/>
      <c r="V978" s="1"/>
      <c r="W978" s="1"/>
      <c r="X978" s="1"/>
      <c r="Y978" s="1"/>
    </row>
    <row r="979" spans="1:25">
      <c r="A979" s="9"/>
      <c r="B979" s="8"/>
      <c r="C979" s="114"/>
      <c r="D979" s="3"/>
      <c r="E979" s="3"/>
      <c r="F979" s="1"/>
      <c r="G979" s="1"/>
      <c r="H979" s="1"/>
      <c r="I979" s="1"/>
      <c r="J979" s="1"/>
      <c r="K979" s="1"/>
      <c r="L979" s="1"/>
      <c r="M979" s="1"/>
      <c r="N979" s="1"/>
      <c r="O979" s="1"/>
      <c r="P979" s="1"/>
      <c r="Q979" s="1"/>
      <c r="R979" s="1"/>
      <c r="S979" s="1"/>
      <c r="T979" s="1"/>
      <c r="U979" s="1"/>
      <c r="V979" s="1"/>
      <c r="W979" s="1"/>
      <c r="X979" s="1"/>
      <c r="Y979" s="1"/>
    </row>
    <row r="980" spans="1:25">
      <c r="A980" s="9"/>
      <c r="B980" s="8"/>
      <c r="C980" s="114"/>
      <c r="D980" s="3"/>
      <c r="E980" s="3"/>
      <c r="F980" s="1"/>
      <c r="G980" s="1"/>
      <c r="H980" s="1"/>
      <c r="I980" s="1"/>
      <c r="J980" s="1"/>
      <c r="K980" s="1"/>
      <c r="L980" s="1"/>
      <c r="M980" s="1"/>
      <c r="N980" s="1"/>
      <c r="O980" s="1"/>
      <c r="P980" s="1"/>
      <c r="Q980" s="1"/>
      <c r="R980" s="1"/>
      <c r="S980" s="1"/>
      <c r="T980" s="1"/>
      <c r="U980" s="1"/>
      <c r="V980" s="1"/>
      <c r="W980" s="1"/>
      <c r="X980" s="1"/>
      <c r="Y980" s="1"/>
    </row>
    <row r="981" spans="1:25">
      <c r="A981" s="9"/>
      <c r="B981" s="8"/>
      <c r="C981" s="114"/>
      <c r="D981" s="3"/>
      <c r="E981" s="3"/>
      <c r="F981" s="1"/>
      <c r="G981" s="1"/>
      <c r="H981" s="1"/>
      <c r="I981" s="1"/>
      <c r="J981" s="1"/>
      <c r="K981" s="1"/>
      <c r="L981" s="1"/>
      <c r="M981" s="1"/>
      <c r="N981" s="1"/>
      <c r="O981" s="1"/>
      <c r="P981" s="1"/>
      <c r="Q981" s="1"/>
      <c r="R981" s="1"/>
      <c r="S981" s="1"/>
      <c r="T981" s="1"/>
      <c r="U981" s="1"/>
      <c r="V981" s="1"/>
      <c r="W981" s="1"/>
      <c r="X981" s="1"/>
      <c r="Y981" s="1"/>
    </row>
    <row r="982" spans="1:25">
      <c r="A982" s="9"/>
      <c r="B982" s="8"/>
      <c r="C982" s="114"/>
      <c r="D982" s="3"/>
      <c r="E982" s="3"/>
      <c r="F982" s="1"/>
      <c r="G982" s="1"/>
      <c r="H982" s="1"/>
      <c r="I982" s="1"/>
      <c r="J982" s="1"/>
      <c r="K982" s="1"/>
      <c r="L982" s="1"/>
      <c r="M982" s="1"/>
      <c r="N982" s="1"/>
      <c r="O982" s="1"/>
      <c r="P982" s="1"/>
      <c r="Q982" s="1"/>
      <c r="R982" s="1"/>
      <c r="S982" s="1"/>
      <c r="T982" s="1"/>
      <c r="U982" s="1"/>
      <c r="V982" s="1"/>
      <c r="W982" s="1"/>
      <c r="X982" s="1"/>
      <c r="Y982" s="1"/>
    </row>
    <row r="983" spans="1:25">
      <c r="A983" s="9"/>
      <c r="B983" s="8"/>
      <c r="C983" s="114"/>
      <c r="D983" s="3"/>
      <c r="E983" s="3"/>
      <c r="F983" s="1"/>
      <c r="G983" s="1"/>
      <c r="H983" s="1"/>
      <c r="I983" s="1"/>
      <c r="J983" s="1"/>
      <c r="K983" s="1"/>
      <c r="L983" s="1"/>
      <c r="M983" s="1"/>
      <c r="N983" s="1"/>
      <c r="O983" s="1"/>
      <c r="P983" s="1"/>
      <c r="Q983" s="1"/>
      <c r="R983" s="1"/>
      <c r="S983" s="1"/>
      <c r="T983" s="1"/>
      <c r="U983" s="1"/>
      <c r="V983" s="1"/>
      <c r="W983" s="1"/>
      <c r="X983" s="1"/>
      <c r="Y983" s="1"/>
    </row>
    <row r="984" spans="1:25">
      <c r="A984" s="9"/>
      <c r="B984" s="8"/>
      <c r="C984" s="114"/>
      <c r="D984" s="3"/>
      <c r="E984" s="3"/>
      <c r="F984" s="1"/>
      <c r="G984" s="1"/>
      <c r="H984" s="1"/>
      <c r="I984" s="1"/>
      <c r="J984" s="1"/>
      <c r="K984" s="1"/>
      <c r="L984" s="1"/>
      <c r="M984" s="1"/>
      <c r="N984" s="1"/>
      <c r="O984" s="1"/>
      <c r="P984" s="1"/>
      <c r="Q984" s="1"/>
      <c r="R984" s="1"/>
      <c r="S984" s="1"/>
      <c r="T984" s="1"/>
      <c r="U984" s="1"/>
      <c r="V984" s="1"/>
      <c r="W984" s="1"/>
      <c r="X984" s="1"/>
      <c r="Y984" s="1"/>
    </row>
    <row r="985" spans="1:25">
      <c r="A985" s="4"/>
      <c r="B985" s="4"/>
      <c r="C985" s="123"/>
      <c r="D985" s="161"/>
      <c r="E985" s="161"/>
      <c r="F985" s="4"/>
      <c r="G985" s="4"/>
      <c r="H985" s="4"/>
      <c r="I985" s="4"/>
      <c r="J985" s="4"/>
      <c r="K985" s="4"/>
      <c r="L985" s="4"/>
      <c r="M985" s="4"/>
      <c r="N985" s="4"/>
      <c r="O985" s="4"/>
      <c r="P985" s="4"/>
      <c r="Q985" s="4"/>
      <c r="R985" s="4"/>
      <c r="S985" s="4"/>
      <c r="T985" s="4"/>
      <c r="U985" s="4"/>
      <c r="V985" s="4"/>
      <c r="W985" s="4"/>
      <c r="X985" s="4"/>
      <c r="Y985" s="4"/>
    </row>
    <row r="986" spans="1:25">
      <c r="A986" s="4"/>
      <c r="B986" s="7"/>
      <c r="C986" s="124"/>
      <c r="D986" s="161"/>
      <c r="E986" s="161"/>
      <c r="F986" s="4"/>
      <c r="G986" s="4"/>
      <c r="H986" s="4"/>
      <c r="I986" s="4"/>
      <c r="J986" s="4"/>
      <c r="K986" s="4"/>
      <c r="L986" s="4"/>
      <c r="M986" s="4"/>
      <c r="N986" s="4"/>
      <c r="O986" s="4"/>
      <c r="P986" s="4"/>
      <c r="Q986" s="4"/>
      <c r="R986" s="4"/>
      <c r="S986" s="4"/>
      <c r="T986" s="4"/>
      <c r="U986" s="4"/>
      <c r="V986" s="4"/>
      <c r="W986" s="4"/>
      <c r="X986" s="4"/>
      <c r="Y986" s="4"/>
    </row>
  </sheetData>
  <autoFilter ref="A1:Y443" xr:uid="{00000000-0001-0000-0000-000000000000}">
    <filterColumn colId="2">
      <colorFilter dxfId="0" cellColor="0"/>
    </filterColumn>
  </autoFilter>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9" r:id="rId315" xr:uid="{00000000-0004-0000-0000-00003E010000}"/>
    <hyperlink ref="B310" r:id="rId316" xr:uid="{00000000-0004-0000-0000-00003F010000}"/>
    <hyperlink ref="E310" r:id="rId317" xr:uid="{00000000-0004-0000-0000-000040010000}"/>
    <hyperlink ref="B311" r:id="rId318" xr:uid="{00000000-0004-0000-0000-000041010000}"/>
    <hyperlink ref="E311" r:id="rId319" xr:uid="{00000000-0004-0000-0000-000042010000}"/>
    <hyperlink ref="B312" r:id="rId320" xr:uid="{00000000-0004-0000-0000-000043010000}"/>
    <hyperlink ref="E312" r:id="rId321" xr:uid="{00000000-0004-0000-0000-000044010000}"/>
    <hyperlink ref="B313" r:id="rId322" xr:uid="{00000000-0004-0000-0000-000045010000}"/>
    <hyperlink ref="E313" r:id="rId323" xr:uid="{00000000-0004-0000-0000-000046010000}"/>
    <hyperlink ref="B314" r:id="rId324" xr:uid="{00000000-0004-0000-0000-000047010000}"/>
    <hyperlink ref="E314" r:id="rId325" xr:uid="{00000000-0004-0000-0000-000048010000}"/>
    <hyperlink ref="B315" r:id="rId326" xr:uid="{00000000-0004-0000-0000-000049010000}"/>
    <hyperlink ref="E315" r:id="rId327" xr:uid="{00000000-0004-0000-0000-00004A010000}"/>
    <hyperlink ref="B316" r:id="rId328" xr:uid="{00000000-0004-0000-0000-00004B010000}"/>
    <hyperlink ref="E316" r:id="rId329" xr:uid="{00000000-0004-0000-0000-00004C010000}"/>
    <hyperlink ref="B317" r:id="rId330" xr:uid="{00000000-0004-0000-0000-00004D010000}"/>
    <hyperlink ref="E317" r:id="rId331" xr:uid="{00000000-0004-0000-0000-00004E010000}"/>
    <hyperlink ref="B318" r:id="rId332" xr:uid="{00000000-0004-0000-0000-00004F010000}"/>
    <hyperlink ref="E318" r:id="rId333" xr:uid="{00000000-0004-0000-0000-000050010000}"/>
    <hyperlink ref="B319" r:id="rId334" xr:uid="{00000000-0004-0000-0000-000051010000}"/>
    <hyperlink ref="E319" r:id="rId335" xr:uid="{00000000-0004-0000-0000-000052010000}"/>
    <hyperlink ref="B320" r:id="rId336" xr:uid="{00000000-0004-0000-0000-000053010000}"/>
    <hyperlink ref="E320" r:id="rId337" xr:uid="{00000000-0004-0000-0000-000054010000}"/>
    <hyperlink ref="B321" r:id="rId338" xr:uid="{00000000-0004-0000-0000-000055010000}"/>
    <hyperlink ref="E321" r:id="rId339" xr:uid="{00000000-0004-0000-0000-000056010000}"/>
    <hyperlink ref="B322" r:id="rId340" xr:uid="{00000000-0004-0000-0000-000057010000}"/>
    <hyperlink ref="E322" r:id="rId341" xr:uid="{00000000-0004-0000-0000-000058010000}"/>
    <hyperlink ref="B323" r:id="rId342" xr:uid="{00000000-0004-0000-0000-000059010000}"/>
    <hyperlink ref="E323" r:id="rId343" xr:uid="{00000000-0004-0000-0000-00005A010000}"/>
    <hyperlink ref="B324" r:id="rId344" xr:uid="{00000000-0004-0000-0000-00005B010000}"/>
    <hyperlink ref="E324" r:id="rId345" xr:uid="{00000000-0004-0000-0000-00005C010000}"/>
    <hyperlink ref="B325" r:id="rId346" xr:uid="{00000000-0004-0000-0000-00005D010000}"/>
    <hyperlink ref="E325" r:id="rId347" xr:uid="{00000000-0004-0000-0000-00005E010000}"/>
    <hyperlink ref="B326" r:id="rId348" xr:uid="{00000000-0004-0000-0000-00005F010000}"/>
    <hyperlink ref="E326" r:id="rId349" xr:uid="{00000000-0004-0000-0000-000060010000}"/>
    <hyperlink ref="B327" r:id="rId350" xr:uid="{00000000-0004-0000-0000-000061010000}"/>
    <hyperlink ref="E327" r:id="rId351" xr:uid="{00000000-0004-0000-0000-000062010000}"/>
    <hyperlink ref="B328" r:id="rId352" xr:uid="{00000000-0004-0000-0000-000063010000}"/>
    <hyperlink ref="E328" r:id="rId353" xr:uid="{00000000-0004-0000-0000-000064010000}"/>
    <hyperlink ref="B329" r:id="rId354" xr:uid="{00000000-0004-0000-0000-000065010000}"/>
    <hyperlink ref="E329" r:id="rId355" xr:uid="{00000000-0004-0000-0000-000066010000}"/>
    <hyperlink ref="B330" r:id="rId356" xr:uid="{00000000-0004-0000-0000-000067010000}"/>
    <hyperlink ref="B331" r:id="rId357" xr:uid="{00000000-0004-0000-0000-000068010000}"/>
    <hyperlink ref="E331" r:id="rId358" xr:uid="{00000000-0004-0000-0000-000069010000}"/>
    <hyperlink ref="B332" r:id="rId359" xr:uid="{00000000-0004-0000-0000-00006A010000}"/>
    <hyperlink ref="E332" r:id="rId360" xr:uid="{00000000-0004-0000-0000-00006B010000}"/>
    <hyperlink ref="E333" r:id="rId361" xr:uid="{00000000-0004-0000-0000-00006C010000}"/>
    <hyperlink ref="B334" r:id="rId362" xr:uid="{00000000-0004-0000-0000-00006D010000}"/>
    <hyperlink ref="B335" r:id="rId363" xr:uid="{00000000-0004-0000-0000-00006E010000}"/>
    <hyperlink ref="E335" r:id="rId364" xr:uid="{00000000-0004-0000-0000-00006F010000}"/>
    <hyperlink ref="B336" r:id="rId365" xr:uid="{00000000-0004-0000-0000-000070010000}"/>
    <hyperlink ref="E336" r:id="rId366" xr:uid="{00000000-0004-0000-0000-000071010000}"/>
    <hyperlink ref="B337" r:id="rId367" xr:uid="{00000000-0004-0000-0000-000072010000}"/>
    <hyperlink ref="B338" r:id="rId368" xr:uid="{00000000-0004-0000-0000-000075010000}"/>
    <hyperlink ref="E338" r:id="rId369" xr:uid="{00000000-0004-0000-0000-000076010000}"/>
    <hyperlink ref="B339" r:id="rId370" xr:uid="{00000000-0004-0000-0000-000079010000}"/>
    <hyperlink ref="E339" r:id="rId371" xr:uid="{00000000-0004-0000-0000-00007A010000}"/>
    <hyperlink ref="B340" r:id="rId372" xr:uid="{00000000-0004-0000-0000-00007B010000}"/>
    <hyperlink ref="E340" r:id="rId373" xr:uid="{00000000-0004-0000-0000-00007C010000}"/>
    <hyperlink ref="B341" r:id="rId374" xr:uid="{00000000-0004-0000-0000-00007D010000}"/>
    <hyperlink ref="E341" r:id="rId375" xr:uid="{00000000-0004-0000-0000-00007E010000}"/>
    <hyperlink ref="B342" r:id="rId376" xr:uid="{00000000-0004-0000-0000-00007F010000}"/>
    <hyperlink ref="E342" r:id="rId377" xr:uid="{00000000-0004-0000-0000-000080010000}"/>
    <hyperlink ref="B343" r:id="rId378" xr:uid="{00000000-0004-0000-0000-000081010000}"/>
    <hyperlink ref="E343" r:id="rId379" xr:uid="{00000000-0004-0000-0000-000082010000}"/>
    <hyperlink ref="B344" r:id="rId380" xr:uid="{00000000-0004-0000-0000-000083010000}"/>
    <hyperlink ref="E344" r:id="rId381" xr:uid="{00000000-0004-0000-0000-000084010000}"/>
    <hyperlink ref="B345" r:id="rId382" xr:uid="{00000000-0004-0000-0000-000085010000}"/>
    <hyperlink ref="E345" r:id="rId383" xr:uid="{00000000-0004-0000-0000-000086010000}"/>
    <hyperlink ref="B346" r:id="rId384" xr:uid="{00000000-0004-0000-0000-000087010000}"/>
    <hyperlink ref="E346" r:id="rId385" xr:uid="{00000000-0004-0000-0000-000088010000}"/>
    <hyperlink ref="B347" r:id="rId386" xr:uid="{00000000-0004-0000-0000-000089010000}"/>
    <hyperlink ref="E347" r:id="rId387" xr:uid="{00000000-0004-0000-0000-00008A010000}"/>
    <hyperlink ref="B348" r:id="rId388" xr:uid="{00000000-0004-0000-0000-00008B010000}"/>
    <hyperlink ref="E348" r:id="rId389" xr:uid="{00000000-0004-0000-0000-00008C010000}"/>
    <hyperlink ref="B349" r:id="rId390" xr:uid="{00000000-0004-0000-0000-00008D010000}"/>
    <hyperlink ref="E349" r:id="rId391" xr:uid="{00000000-0004-0000-0000-00008E010000}"/>
    <hyperlink ref="B350" r:id="rId392" xr:uid="{00000000-0004-0000-0000-00008F010000}"/>
    <hyperlink ref="E350" r:id="rId393" xr:uid="{00000000-0004-0000-0000-000090010000}"/>
    <hyperlink ref="B351" r:id="rId394" xr:uid="{00000000-0004-0000-0000-000091010000}"/>
    <hyperlink ref="E351" r:id="rId395" xr:uid="{00000000-0004-0000-0000-000092010000}"/>
    <hyperlink ref="B352" r:id="rId396" xr:uid="{00000000-0004-0000-0000-000093010000}"/>
    <hyperlink ref="E352" r:id="rId397" xr:uid="{00000000-0004-0000-0000-000094010000}"/>
    <hyperlink ref="B353" r:id="rId398" xr:uid="{00000000-0004-0000-0000-000095010000}"/>
    <hyperlink ref="E353" r:id="rId399" xr:uid="{00000000-0004-0000-0000-000096010000}"/>
    <hyperlink ref="B354" r:id="rId400" xr:uid="{00000000-0004-0000-0000-000097010000}"/>
    <hyperlink ref="E354" r:id="rId401" xr:uid="{00000000-0004-0000-0000-000098010000}"/>
    <hyperlink ref="B355" r:id="rId402" xr:uid="{00000000-0004-0000-0000-000099010000}"/>
    <hyperlink ref="E355" r:id="rId403" xr:uid="{00000000-0004-0000-0000-00009A010000}"/>
    <hyperlink ref="B356" r:id="rId404" xr:uid="{00000000-0004-0000-0000-00009B010000}"/>
    <hyperlink ref="E356" r:id="rId405" xr:uid="{00000000-0004-0000-0000-00009C010000}"/>
    <hyperlink ref="B357" r:id="rId406" xr:uid="{00000000-0004-0000-0000-00009D010000}"/>
    <hyperlink ref="E357" r:id="rId407" xr:uid="{00000000-0004-0000-0000-00009E010000}"/>
    <hyperlink ref="B358" r:id="rId408" xr:uid="{00000000-0004-0000-0000-00009F010000}"/>
    <hyperlink ref="E358" r:id="rId409" xr:uid="{00000000-0004-0000-0000-0000A0010000}"/>
    <hyperlink ref="B359" r:id="rId410" xr:uid="{00000000-0004-0000-0000-0000A1010000}"/>
    <hyperlink ref="E359" r:id="rId411" xr:uid="{00000000-0004-0000-0000-0000A2010000}"/>
    <hyperlink ref="B360" r:id="rId412" xr:uid="{00000000-0004-0000-0000-0000A3010000}"/>
    <hyperlink ref="B361" r:id="rId413" xr:uid="{00000000-0004-0000-0000-0000A4010000}"/>
    <hyperlink ref="B362" r:id="rId414" xr:uid="{00000000-0004-0000-0000-0000A5010000}"/>
    <hyperlink ref="E362" r:id="rId415" xr:uid="{00000000-0004-0000-0000-0000A6010000}"/>
    <hyperlink ref="B363" r:id="rId416" xr:uid="{00000000-0004-0000-0000-0000A7010000}"/>
    <hyperlink ref="B364" r:id="rId417" xr:uid="{00000000-0004-0000-0000-0000A8010000}"/>
    <hyperlink ref="E364" r:id="rId418" xr:uid="{00000000-0004-0000-0000-0000A9010000}"/>
    <hyperlink ref="B365" r:id="rId419" xr:uid="{00000000-0004-0000-0000-0000AA010000}"/>
    <hyperlink ref="B366" r:id="rId420" xr:uid="{00000000-0004-0000-0000-0000AB010000}"/>
    <hyperlink ref="B367" r:id="rId421" xr:uid="{00000000-0004-0000-0000-0000AC010000}"/>
    <hyperlink ref="B368" r:id="rId422" xr:uid="{00000000-0004-0000-0000-0000AD010000}"/>
    <hyperlink ref="E368" r:id="rId423" xr:uid="{00000000-0004-0000-0000-0000AE010000}"/>
    <hyperlink ref="B369" r:id="rId424" xr:uid="{00000000-0004-0000-0000-0000AF010000}"/>
    <hyperlink ref="E369" r:id="rId425" xr:uid="{00000000-0004-0000-0000-0000B0010000}"/>
    <hyperlink ref="B370" r:id="rId426" xr:uid="{00000000-0004-0000-0000-0000B1010000}"/>
    <hyperlink ref="B371" r:id="rId427" xr:uid="{00000000-0004-0000-0000-0000B2010000}"/>
    <hyperlink ref="E371" r:id="rId428" xr:uid="{00000000-0004-0000-0000-0000B3010000}"/>
    <hyperlink ref="B372" r:id="rId429" xr:uid="{00000000-0004-0000-0000-0000B4010000}"/>
    <hyperlink ref="B373" r:id="rId430" xr:uid="{00000000-0004-0000-0000-0000B5010000}"/>
    <hyperlink ref="B374" r:id="rId431" xr:uid="{00000000-0004-0000-0000-0000B6010000}"/>
    <hyperlink ref="E374" r:id="rId432" xr:uid="{00000000-0004-0000-0000-0000B7010000}"/>
    <hyperlink ref="B375" r:id="rId433" xr:uid="{00000000-0004-0000-0000-0000B8010000}"/>
    <hyperlink ref="E375" r:id="rId434" xr:uid="{00000000-0004-0000-0000-0000B9010000}"/>
    <hyperlink ref="B376" r:id="rId435" xr:uid="{00000000-0004-0000-0000-0000BA010000}"/>
    <hyperlink ref="E376" r:id="rId436" xr:uid="{00000000-0004-0000-0000-0000BB010000}"/>
    <hyperlink ref="B377" r:id="rId437" xr:uid="{00000000-0004-0000-0000-0000BC010000}"/>
    <hyperlink ref="E377" r:id="rId438" xr:uid="{00000000-0004-0000-0000-0000BD010000}"/>
    <hyperlink ref="B378" r:id="rId439" xr:uid="{00000000-0004-0000-0000-0000BE010000}"/>
    <hyperlink ref="E378" r:id="rId440" xr:uid="{00000000-0004-0000-0000-0000BF010000}"/>
    <hyperlink ref="B379" r:id="rId441" xr:uid="{00000000-0004-0000-0000-0000C0010000}"/>
    <hyperlink ref="E379" r:id="rId442" xr:uid="{00000000-0004-0000-0000-0000C1010000}"/>
    <hyperlink ref="B380" r:id="rId443" xr:uid="{00000000-0004-0000-0000-0000C2010000}"/>
    <hyperlink ref="E380" r:id="rId444" xr:uid="{00000000-0004-0000-0000-0000C3010000}"/>
    <hyperlink ref="B381" r:id="rId445" xr:uid="{00000000-0004-0000-0000-0000C4010000}"/>
    <hyperlink ref="E381" r:id="rId446" xr:uid="{00000000-0004-0000-0000-0000C5010000}"/>
    <hyperlink ref="B382" r:id="rId447" xr:uid="{00000000-0004-0000-0000-0000C6010000}"/>
    <hyperlink ref="E382" r:id="rId448" xr:uid="{00000000-0004-0000-0000-0000C7010000}"/>
    <hyperlink ref="B383" r:id="rId449" xr:uid="{00000000-0004-0000-0000-0000C8010000}"/>
    <hyperlink ref="E383" r:id="rId450" xr:uid="{00000000-0004-0000-0000-0000C9010000}"/>
    <hyperlink ref="B384" r:id="rId451" xr:uid="{00000000-0004-0000-0000-0000CA010000}"/>
    <hyperlink ref="B385" r:id="rId452" xr:uid="{00000000-0004-0000-0000-0000CB010000}"/>
    <hyperlink ref="E385" r:id="rId453" xr:uid="{00000000-0004-0000-0000-0000CC010000}"/>
    <hyperlink ref="B386" r:id="rId454" xr:uid="{00000000-0004-0000-0000-0000CD010000}"/>
    <hyperlink ref="B387" r:id="rId455" xr:uid="{00000000-0004-0000-0000-0000CE010000}"/>
    <hyperlink ref="E387" r:id="rId456" xr:uid="{00000000-0004-0000-0000-0000CF010000}"/>
    <hyperlink ref="B388" r:id="rId457" xr:uid="{00000000-0004-0000-0000-0000D0010000}"/>
    <hyperlink ref="B389" r:id="rId458" xr:uid="{00000000-0004-0000-0000-0000D1010000}"/>
    <hyperlink ref="B390" r:id="rId459" xr:uid="{00000000-0004-0000-0000-0000D2010000}"/>
    <hyperlink ref="B391" r:id="rId460" xr:uid="{00000000-0004-0000-0000-0000D3010000}"/>
    <hyperlink ref="E391" r:id="rId461" xr:uid="{00000000-0004-0000-0000-0000D4010000}"/>
    <hyperlink ref="B392" r:id="rId462" xr:uid="{00000000-0004-0000-0000-0000D5010000}"/>
    <hyperlink ref="E392" r:id="rId463" xr:uid="{00000000-0004-0000-0000-0000D6010000}"/>
    <hyperlink ref="B393" r:id="rId464" xr:uid="{00000000-0004-0000-0000-0000D7010000}"/>
    <hyperlink ref="E393" r:id="rId465" xr:uid="{00000000-0004-0000-0000-0000D8010000}"/>
    <hyperlink ref="B394" r:id="rId466" xr:uid="{00000000-0004-0000-0000-0000D9010000}"/>
    <hyperlink ref="E394" r:id="rId467" xr:uid="{00000000-0004-0000-0000-0000DA010000}"/>
    <hyperlink ref="B395" r:id="rId468" xr:uid="{00000000-0004-0000-0000-0000DB010000}"/>
    <hyperlink ref="E395" r:id="rId469" xr:uid="{00000000-0004-0000-0000-0000DC010000}"/>
    <hyperlink ref="B396" r:id="rId470" xr:uid="{00000000-0004-0000-0000-0000DD010000}"/>
    <hyperlink ref="E396" r:id="rId471" xr:uid="{00000000-0004-0000-0000-0000DE010000}"/>
    <hyperlink ref="B397" r:id="rId472" xr:uid="{00000000-0004-0000-0000-0000DF010000}"/>
    <hyperlink ref="E397" r:id="rId473" xr:uid="{00000000-0004-0000-0000-0000E0010000}"/>
    <hyperlink ref="B398" r:id="rId474" xr:uid="{00000000-0004-0000-0000-0000E1010000}"/>
    <hyperlink ref="E398" r:id="rId475" xr:uid="{00000000-0004-0000-0000-0000E2010000}"/>
    <hyperlink ref="B399" r:id="rId476" xr:uid="{00000000-0004-0000-0000-0000E3010000}"/>
    <hyperlink ref="E399" r:id="rId477" xr:uid="{00000000-0004-0000-0000-0000E4010000}"/>
    <hyperlink ref="B400" r:id="rId478" xr:uid="{00000000-0004-0000-0000-0000E5010000}"/>
    <hyperlink ref="E400" r:id="rId479" xr:uid="{00000000-0004-0000-0000-0000E6010000}"/>
    <hyperlink ref="E401" r:id="rId480" xr:uid="{00000000-0004-0000-0000-0000E7010000}"/>
    <hyperlink ref="B401" r:id="rId481" xr:uid="{00000000-0004-0000-0000-0000E8010000}"/>
    <hyperlink ref="B402" r:id="rId482" xr:uid="{00000000-0004-0000-0000-0000E9010000}"/>
    <hyperlink ref="E402" r:id="rId483" xr:uid="{00000000-0004-0000-0000-0000EA010000}"/>
    <hyperlink ref="B404" r:id="rId484" xr:uid="{00000000-0004-0000-0000-0000EB010000}"/>
    <hyperlink ref="B405" r:id="rId485" xr:uid="{00000000-0004-0000-0000-0000EC010000}"/>
    <hyperlink ref="E405" r:id="rId486" xr:uid="{00000000-0004-0000-0000-0000ED010000}"/>
    <hyperlink ref="B406" r:id="rId487" xr:uid="{00000000-0004-0000-0000-0000EE010000}"/>
    <hyperlink ref="E406" r:id="rId488" xr:uid="{00000000-0004-0000-0000-0000EF010000}"/>
    <hyperlink ref="B407" r:id="rId489" xr:uid="{00000000-0004-0000-0000-0000F0010000}"/>
    <hyperlink ref="B408" r:id="rId490" xr:uid="{00000000-0004-0000-0000-0000F1010000}"/>
    <hyperlink ref="B409" r:id="rId491" xr:uid="{00000000-0004-0000-0000-0000F2010000}"/>
    <hyperlink ref="B410" r:id="rId492" xr:uid="{00000000-0004-0000-0000-0000F3010000}"/>
    <hyperlink ref="B411" r:id="rId493" xr:uid="{00000000-0004-0000-0000-0000F4010000}"/>
    <hyperlink ref="E409" r:id="rId494" xr:uid="{00000000-0004-0000-0000-0000F5010000}"/>
    <hyperlink ref="E410" r:id="rId495" xr:uid="{00000000-0004-0000-0000-0000F6010000}"/>
    <hyperlink ref="B412" r:id="rId496" xr:uid="{00000000-0004-0000-0000-0000F7010000}"/>
    <hyperlink ref="B413" r:id="rId497" xr:uid="{00000000-0004-0000-0000-0000F8010000}"/>
    <hyperlink ref="B414" r:id="rId498" xr:uid="{00000000-0004-0000-0000-0000F9010000}"/>
    <hyperlink ref="E413" r:id="rId499" xr:uid="{00000000-0004-0000-0000-0000FA010000}"/>
    <hyperlink ref="E412" r:id="rId500" xr:uid="{00000000-0004-0000-0000-0000FB010000}"/>
    <hyperlink ref="B415" r:id="rId501" xr:uid="{00000000-0004-0000-0000-0000FC010000}"/>
    <hyperlink ref="E415" r:id="rId502" xr:uid="{00000000-0004-0000-0000-0000FD010000}"/>
    <hyperlink ref="B416" r:id="rId503" xr:uid="{00000000-0004-0000-0000-0000FE010000}"/>
    <hyperlink ref="E416" r:id="rId504" xr:uid="{00000000-0004-0000-0000-0000FF010000}"/>
    <hyperlink ref="B417" r:id="rId505" xr:uid="{00000000-0004-0000-0000-000000020000}"/>
    <hyperlink ref="E417" r:id="rId506" xr:uid="{00000000-0004-0000-0000-000001020000}"/>
    <hyperlink ref="B418" r:id="rId507" xr:uid="{00000000-0004-0000-0000-000002020000}"/>
    <hyperlink ref="B419" r:id="rId508" xr:uid="{00000000-0004-0000-0000-000003020000}"/>
    <hyperlink ref="E419" r:id="rId509" xr:uid="{00000000-0004-0000-0000-000004020000}"/>
    <hyperlink ref="B420" r:id="rId510" xr:uid="{00000000-0004-0000-0000-000005020000}"/>
    <hyperlink ref="E420" r:id="rId511" xr:uid="{00000000-0004-0000-0000-000006020000}"/>
    <hyperlink ref="B421" r:id="rId512" xr:uid="{00000000-0004-0000-0000-000007020000}"/>
    <hyperlink ref="E421" r:id="rId513" xr:uid="{00000000-0004-0000-0000-000008020000}"/>
    <hyperlink ref="B422" r:id="rId514" xr:uid="{00000000-0004-0000-0000-000009020000}"/>
    <hyperlink ref="B423" r:id="rId515" xr:uid="{00000000-0004-0000-0000-00000A020000}"/>
    <hyperlink ref="B425" r:id="rId516" xr:uid="{00000000-0004-0000-0000-00000D020000}"/>
    <hyperlink ref="E425" r:id="rId517" xr:uid="{00000000-0004-0000-0000-00000E020000}"/>
    <hyperlink ref="E423" r:id="rId518" xr:uid="{00000000-0004-0000-0000-00000F020000}"/>
    <hyperlink ref="B426" r:id="rId519" xr:uid="{00000000-0004-0000-0000-000010020000}"/>
    <hyperlink ref="B427" r:id="rId520" xr:uid="{00000000-0004-0000-0000-000011020000}"/>
    <hyperlink ref="B428" r:id="rId521" xr:uid="{00000000-0004-0000-0000-000012020000}"/>
    <hyperlink ref="E428" r:id="rId522" xr:uid="{00000000-0004-0000-0000-000013020000}"/>
    <hyperlink ref="B429" r:id="rId523" xr:uid="{00000000-0004-0000-0000-000014020000}"/>
    <hyperlink ref="E429" r:id="rId524" xr:uid="{00000000-0004-0000-0000-000015020000}"/>
    <hyperlink ref="B430" r:id="rId525" xr:uid="{00000000-0004-0000-0000-000016020000}"/>
    <hyperlink ref="B431" r:id="rId526" xr:uid="{00000000-0004-0000-0000-00001A020000}"/>
    <hyperlink ref="E431" r:id="rId527" xr:uid="{00000000-0004-0000-0000-00001B020000}"/>
    <hyperlink ref="B432" r:id="rId528" xr:uid="{38C659B7-8358-4093-8358-00A3C6539A04}"/>
    <hyperlink ref="B433" r:id="rId529" xr:uid="{CC5D3817-E22F-4036-A567-DA6B7315CB9D}"/>
    <hyperlink ref="B434" r:id="rId530" xr:uid="{EA35C3E1-8901-4FB2-883F-6A71DE67D39C}"/>
    <hyperlink ref="B435" r:id="rId531" xr:uid="{8742BBB7-82EF-495C-8435-F04843695F67}"/>
    <hyperlink ref="B436" r:id="rId532" xr:uid="{C874C5B9-8ABA-4962-B5A1-70AD9A9157DE}"/>
    <hyperlink ref="B437" r:id="rId533" xr:uid="{80DF6D2D-31E9-409C-A587-96D4A79B140B}"/>
    <hyperlink ref="B438" r:id="rId534" xr:uid="{BF313B04-CC7A-4FB0-AADC-759889C71630}"/>
    <hyperlink ref="E438" r:id="rId535" display="https://www.microsave.net/author/msc/" xr:uid="{906B2B25-5174-4853-9681-20B926B68875}"/>
    <hyperlink ref="B439" r:id="rId536" xr:uid="{A415ECA2-4B9D-45AC-B06A-7EBE2C6D9005}"/>
    <hyperlink ref="B440" r:id="rId537" xr:uid="{1ABF9BB7-0B63-439F-BEE9-243E952E7685}"/>
    <hyperlink ref="B442" r:id="rId538" display="https://www.microsave.net/2026/04/01/resilient-farming-in-the-digital-age-overcoming-agtech-adoption-challenges-in-africa-and-asia/" xr:uid="{4F4C010E-E380-4370-A3E0-98256334B6C2}"/>
    <hyperlink ref="B443" r:id="rId539" display="https://www.microsave.net/2026/04/02/the-missing-link-for-agents-a-review-of-agent-grievance-resolution-systems-in-india/" xr:uid="{C01CE7F1-BC9E-4188-8E5C-E1589A5BAA22}"/>
    <hyperlink ref="E308" r:id="rId540" xr:uid="{00000000-0004-0000-0000-00003D010000}"/>
    <hyperlink ref="B444" r:id="rId541" xr:uid="{867F4A43-5F7C-4914-AB02-B5B4D5C45380}"/>
    <hyperlink ref="B446" r:id="rId542" xr:uid="{AC69FDD0-D1AD-4FEA-8AA9-97269F0E4443}"/>
    <hyperlink ref="B445" r:id="rId543" xr:uid="{B4AEBFEE-E78B-4D8A-8C37-81C2D6B258E0}"/>
  </hyperlinks>
  <pageMargins left="0.7" right="0.7" top="0.75" bottom="0.75" header="0" footer="0"/>
  <pageSetup orientation="portrait" r:id="rId544"/>
  <legacyDrawing r:id="rId54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1"/>
  <sheetViews>
    <sheetView topLeftCell="B1" workbookViewId="0">
      <pane ySplit="1" topLeftCell="A25" activePane="bottomLeft" state="frozen"/>
      <selection pane="bottomLeft" activeCell="B1" sqref="A1:XFD1"/>
    </sheetView>
  </sheetViews>
  <sheetFormatPr defaultColWidth="14.44140625" defaultRowHeight="15" customHeight="1"/>
  <cols>
    <col min="1" max="1" width="9.109375" style="20" customWidth="1"/>
    <col min="2" max="2" width="73.33203125" style="20" customWidth="1"/>
    <col min="3" max="3" width="24.109375" style="20" customWidth="1"/>
    <col min="4" max="4" width="61.109375" style="20" customWidth="1"/>
    <col min="5" max="5" width="46.88671875" style="20" customWidth="1"/>
    <col min="6" max="17" width="9.109375" style="20" hidden="1" customWidth="1"/>
    <col min="18" max="28" width="9.109375" style="20" customWidth="1"/>
    <col min="29" max="16384" width="14.44140625" style="20"/>
  </cols>
  <sheetData>
    <row r="1" spans="1:28" s="502" customFormat="1" ht="33.75" customHeight="1">
      <c r="A1" s="491" t="s">
        <v>1476</v>
      </c>
      <c r="B1" s="491" t="s">
        <v>1</v>
      </c>
      <c r="C1" s="491" t="s">
        <v>2</v>
      </c>
      <c r="D1" s="491" t="s">
        <v>3</v>
      </c>
      <c r="E1" s="491" t="s">
        <v>4</v>
      </c>
      <c r="F1" s="491" t="s">
        <v>4599</v>
      </c>
      <c r="G1" s="491" t="s">
        <v>4600</v>
      </c>
      <c r="H1" s="491" t="s">
        <v>4601</v>
      </c>
      <c r="I1" s="491" t="s">
        <v>4601</v>
      </c>
      <c r="J1" s="491" t="s">
        <v>4601</v>
      </c>
      <c r="K1" s="491" t="s">
        <v>4602</v>
      </c>
      <c r="L1" s="491" t="s">
        <v>4603</v>
      </c>
      <c r="M1" s="491" t="s">
        <v>4604</v>
      </c>
      <c r="N1" s="508"/>
      <c r="O1" s="491" t="s">
        <v>4605</v>
      </c>
      <c r="P1" s="491" t="s">
        <v>4606</v>
      </c>
      <c r="Q1" s="509" t="s">
        <v>4607</v>
      </c>
      <c r="R1" s="504"/>
      <c r="S1" s="504"/>
      <c r="T1" s="504"/>
      <c r="U1" s="504"/>
      <c r="V1" s="504"/>
      <c r="W1" s="504"/>
      <c r="X1" s="504"/>
      <c r="Y1" s="504"/>
      <c r="Z1" s="504"/>
      <c r="AA1" s="504"/>
      <c r="AB1" s="504"/>
    </row>
    <row r="2" spans="1:28" ht="230.4">
      <c r="A2" s="15">
        <v>1</v>
      </c>
      <c r="B2" s="2" t="s">
        <v>4608</v>
      </c>
      <c r="C2" s="419">
        <v>38356</v>
      </c>
      <c r="D2" s="113" t="s">
        <v>4609</v>
      </c>
      <c r="E2" s="113" t="s">
        <v>269</v>
      </c>
      <c r="F2" s="113" t="s">
        <v>4610</v>
      </c>
      <c r="G2" s="113"/>
      <c r="H2" s="113" t="s">
        <v>4611</v>
      </c>
      <c r="I2" s="113" t="s">
        <v>4612</v>
      </c>
      <c r="J2" s="113" t="s">
        <v>4613</v>
      </c>
      <c r="K2" s="113" t="s">
        <v>4614</v>
      </c>
      <c r="L2" s="113" t="s">
        <v>4615</v>
      </c>
      <c r="M2" s="113" t="s">
        <v>4616</v>
      </c>
      <c r="N2" s="112"/>
      <c r="O2" s="3" t="s">
        <v>4617</v>
      </c>
      <c r="P2" s="3" t="s">
        <v>4618</v>
      </c>
      <c r="Q2" s="146"/>
      <c r="R2" s="161"/>
      <c r="S2" s="161"/>
      <c r="T2" s="161"/>
      <c r="U2" s="161"/>
      <c r="V2" s="161"/>
      <c r="W2" s="161"/>
      <c r="X2" s="161"/>
      <c r="Y2" s="161"/>
      <c r="Z2" s="161"/>
      <c r="AA2" s="161"/>
      <c r="AB2" s="161"/>
    </row>
    <row r="3" spans="1:28" ht="216">
      <c r="A3" s="15">
        <v>2</v>
      </c>
      <c r="B3" s="2" t="s">
        <v>4619</v>
      </c>
      <c r="C3" s="419">
        <v>38394</v>
      </c>
      <c r="D3" s="113" t="s">
        <v>4620</v>
      </c>
      <c r="E3" s="113" t="s">
        <v>269</v>
      </c>
      <c r="F3" s="113" t="s">
        <v>4610</v>
      </c>
      <c r="G3" s="113"/>
      <c r="H3" s="113" t="s">
        <v>4611</v>
      </c>
      <c r="I3" s="113" t="s">
        <v>4612</v>
      </c>
      <c r="J3" s="113" t="s">
        <v>4621</v>
      </c>
      <c r="K3" s="113" t="s">
        <v>4614</v>
      </c>
      <c r="L3" s="113" t="s">
        <v>4615</v>
      </c>
      <c r="M3" s="113" t="s">
        <v>4616</v>
      </c>
      <c r="N3" s="112"/>
      <c r="O3" s="3" t="s">
        <v>4622</v>
      </c>
      <c r="P3" s="3" t="s">
        <v>4623</v>
      </c>
      <c r="Q3" s="146"/>
      <c r="R3" s="161"/>
      <c r="S3" s="161"/>
      <c r="T3" s="161"/>
      <c r="U3" s="161"/>
      <c r="V3" s="161"/>
      <c r="W3" s="161"/>
      <c r="X3" s="161"/>
      <c r="Y3" s="161"/>
      <c r="Z3" s="161"/>
      <c r="AA3" s="161"/>
      <c r="AB3" s="161"/>
    </row>
    <row r="4" spans="1:28" ht="158.4">
      <c r="A4" s="15">
        <v>3</v>
      </c>
      <c r="B4" s="2" t="s">
        <v>4624</v>
      </c>
      <c r="C4" s="419">
        <v>38417</v>
      </c>
      <c r="D4" s="113" t="s">
        <v>4625</v>
      </c>
      <c r="E4" s="113" t="s">
        <v>269</v>
      </c>
      <c r="F4" s="113" t="s">
        <v>4610</v>
      </c>
      <c r="G4" s="113"/>
      <c r="H4" s="113" t="s">
        <v>4611</v>
      </c>
      <c r="I4" s="113" t="s">
        <v>4612</v>
      </c>
      <c r="J4" s="113" t="s">
        <v>4626</v>
      </c>
      <c r="K4" s="113" t="s">
        <v>4614</v>
      </c>
      <c r="L4" s="113" t="s">
        <v>4615</v>
      </c>
      <c r="M4" s="113" t="s">
        <v>4616</v>
      </c>
      <c r="N4" s="112"/>
      <c r="O4" s="3" t="s">
        <v>4617</v>
      </c>
      <c r="P4" s="3" t="s">
        <v>4627</v>
      </c>
      <c r="Q4" s="146"/>
      <c r="R4" s="161"/>
      <c r="S4" s="161"/>
      <c r="T4" s="161"/>
      <c r="U4" s="161"/>
      <c r="V4" s="161"/>
      <c r="W4" s="161"/>
      <c r="X4" s="161"/>
      <c r="Y4" s="161"/>
      <c r="Z4" s="161"/>
      <c r="AA4" s="161"/>
      <c r="AB4" s="161"/>
    </row>
    <row r="5" spans="1:28" ht="158.4">
      <c r="A5" s="15">
        <v>4</v>
      </c>
      <c r="B5" s="2" t="s">
        <v>4628</v>
      </c>
      <c r="C5" s="419">
        <v>38449</v>
      </c>
      <c r="D5" s="113" t="s">
        <v>4629</v>
      </c>
      <c r="E5" s="113" t="s">
        <v>4630</v>
      </c>
      <c r="F5" s="113" t="s">
        <v>4610</v>
      </c>
      <c r="G5" s="113"/>
      <c r="H5" s="113" t="s">
        <v>4611</v>
      </c>
      <c r="I5" s="113" t="s">
        <v>4612</v>
      </c>
      <c r="J5" s="113" t="s">
        <v>4613</v>
      </c>
      <c r="K5" s="113" t="s">
        <v>4614</v>
      </c>
      <c r="L5" s="113" t="s">
        <v>4615</v>
      </c>
      <c r="M5" s="113" t="s">
        <v>4616</v>
      </c>
      <c r="N5" s="112"/>
      <c r="O5" s="3" t="s">
        <v>4631</v>
      </c>
      <c r="P5" s="3" t="s">
        <v>4632</v>
      </c>
      <c r="Q5" s="146"/>
      <c r="R5" s="161"/>
      <c r="S5" s="161"/>
      <c r="T5" s="161"/>
      <c r="U5" s="161"/>
      <c r="V5" s="161"/>
      <c r="W5" s="161"/>
      <c r="X5" s="161"/>
      <c r="Y5" s="161"/>
      <c r="Z5" s="161"/>
      <c r="AA5" s="161"/>
      <c r="AB5" s="161"/>
    </row>
    <row r="6" spans="1:28" ht="100.8">
      <c r="A6" s="15">
        <v>5</v>
      </c>
      <c r="B6" s="2" t="s">
        <v>4633</v>
      </c>
      <c r="C6" s="419">
        <v>38719</v>
      </c>
      <c r="D6" s="113" t="s">
        <v>4634</v>
      </c>
      <c r="E6" s="113" t="s">
        <v>4635</v>
      </c>
      <c r="F6" s="113" t="s">
        <v>4610</v>
      </c>
      <c r="G6" s="113"/>
      <c r="H6" s="113" t="s">
        <v>4611</v>
      </c>
      <c r="I6" s="113" t="s">
        <v>4612</v>
      </c>
      <c r="J6" s="113" t="s">
        <v>4613</v>
      </c>
      <c r="K6" s="113" t="s">
        <v>4614</v>
      </c>
      <c r="L6" s="113" t="s">
        <v>4615</v>
      </c>
      <c r="M6" s="113" t="s">
        <v>4616</v>
      </c>
      <c r="N6" s="112"/>
      <c r="O6" s="3" t="s">
        <v>4617</v>
      </c>
      <c r="P6" s="3" t="s">
        <v>4636</v>
      </c>
      <c r="Q6" s="146"/>
      <c r="R6" s="161"/>
      <c r="S6" s="161"/>
      <c r="T6" s="161"/>
      <c r="U6" s="161"/>
      <c r="V6" s="161"/>
      <c r="W6" s="161"/>
      <c r="X6" s="161"/>
      <c r="Y6" s="161"/>
      <c r="Z6" s="161"/>
      <c r="AA6" s="161"/>
      <c r="AB6" s="161"/>
    </row>
    <row r="7" spans="1:28" ht="207.6" customHeight="1">
      <c r="A7" s="15">
        <v>6</v>
      </c>
      <c r="B7" s="2" t="s">
        <v>4637</v>
      </c>
      <c r="C7" s="419">
        <v>38780</v>
      </c>
      <c r="D7" s="113" t="s">
        <v>4638</v>
      </c>
      <c r="E7" s="113" t="s">
        <v>269</v>
      </c>
      <c r="F7" s="113" t="s">
        <v>4610</v>
      </c>
      <c r="G7" s="113"/>
      <c r="H7" s="113" t="s">
        <v>4611</v>
      </c>
      <c r="I7" s="113" t="s">
        <v>4612</v>
      </c>
      <c r="J7" s="113" t="s">
        <v>4639</v>
      </c>
      <c r="K7" s="113" t="s">
        <v>4614</v>
      </c>
      <c r="L7" s="113" t="s">
        <v>4615</v>
      </c>
      <c r="M7" s="113" t="s">
        <v>4616</v>
      </c>
      <c r="N7" s="112"/>
      <c r="O7" s="3" t="s">
        <v>4640</v>
      </c>
      <c r="P7" s="3" t="s">
        <v>4641</v>
      </c>
      <c r="Q7" s="146"/>
      <c r="R7" s="161"/>
      <c r="S7" s="161"/>
      <c r="T7" s="161"/>
      <c r="U7" s="161"/>
      <c r="V7" s="161"/>
      <c r="W7" s="161"/>
      <c r="X7" s="161"/>
      <c r="Y7" s="161"/>
      <c r="Z7" s="161"/>
      <c r="AA7" s="161"/>
      <c r="AB7" s="161"/>
    </row>
    <row r="8" spans="1:28" ht="195" customHeight="1">
      <c r="A8" s="15">
        <v>7</v>
      </c>
      <c r="B8" s="2" t="s">
        <v>4642</v>
      </c>
      <c r="C8" s="419">
        <v>38810</v>
      </c>
      <c r="D8" s="113" t="s">
        <v>4643</v>
      </c>
      <c r="E8" s="113" t="s">
        <v>269</v>
      </c>
      <c r="F8" s="113" t="s">
        <v>4610</v>
      </c>
      <c r="G8" s="113"/>
      <c r="H8" s="113" t="s">
        <v>4612</v>
      </c>
      <c r="I8" s="113" t="s">
        <v>4639</v>
      </c>
      <c r="J8" s="113" t="s">
        <v>4613</v>
      </c>
      <c r="K8" s="113" t="s">
        <v>4614</v>
      </c>
      <c r="L8" s="113" t="s">
        <v>4615</v>
      </c>
      <c r="M8" s="113" t="s">
        <v>4616</v>
      </c>
      <c r="N8" s="112"/>
      <c r="O8" s="3" t="s">
        <v>4644</v>
      </c>
      <c r="P8" s="3" t="s">
        <v>4645</v>
      </c>
      <c r="Q8" s="146"/>
      <c r="R8" s="161"/>
      <c r="S8" s="161"/>
      <c r="T8" s="161"/>
      <c r="U8" s="161"/>
      <c r="V8" s="161"/>
      <c r="W8" s="161"/>
      <c r="X8" s="161"/>
      <c r="Y8" s="161"/>
      <c r="Z8" s="161"/>
      <c r="AA8" s="161"/>
      <c r="AB8" s="161"/>
    </row>
    <row r="9" spans="1:28" ht="273.60000000000002">
      <c r="A9" s="15">
        <v>8</v>
      </c>
      <c r="B9" s="2" t="s">
        <v>4646</v>
      </c>
      <c r="C9" s="419">
        <v>38843</v>
      </c>
      <c r="D9" s="113" t="s">
        <v>4647</v>
      </c>
      <c r="E9" s="113" t="s">
        <v>4648</v>
      </c>
      <c r="F9" s="113" t="s">
        <v>4610</v>
      </c>
      <c r="G9" s="113"/>
      <c r="H9" s="113" t="s">
        <v>4611</v>
      </c>
      <c r="I9" s="113" t="s">
        <v>4612</v>
      </c>
      <c r="J9" s="113" t="s">
        <v>4613</v>
      </c>
      <c r="K9" s="113" t="s">
        <v>4614</v>
      </c>
      <c r="L9" s="113" t="s">
        <v>4615</v>
      </c>
      <c r="M9" s="113" t="s">
        <v>4616</v>
      </c>
      <c r="N9" s="112"/>
      <c r="O9" s="3" t="s">
        <v>4649</v>
      </c>
      <c r="P9" s="3" t="s">
        <v>4650</v>
      </c>
      <c r="Q9" s="146"/>
      <c r="R9" s="161"/>
      <c r="S9" s="161"/>
      <c r="T9" s="161"/>
      <c r="U9" s="161"/>
      <c r="V9" s="161"/>
      <c r="W9" s="161"/>
      <c r="X9" s="161"/>
      <c r="Y9" s="161"/>
      <c r="Z9" s="161"/>
      <c r="AA9" s="161"/>
      <c r="AB9" s="161"/>
    </row>
    <row r="10" spans="1:28" ht="230.4">
      <c r="A10" s="15">
        <v>9</v>
      </c>
      <c r="B10" s="2" t="s">
        <v>4651</v>
      </c>
      <c r="C10" s="419">
        <v>38902</v>
      </c>
      <c r="D10" s="113" t="s">
        <v>4652</v>
      </c>
      <c r="E10" s="113" t="s">
        <v>4635</v>
      </c>
      <c r="F10" s="113" t="s">
        <v>4610</v>
      </c>
      <c r="G10" s="113"/>
      <c r="H10" s="113" t="s">
        <v>4611</v>
      </c>
      <c r="I10" s="113" t="s">
        <v>4612</v>
      </c>
      <c r="J10" s="113" t="s">
        <v>4653</v>
      </c>
      <c r="K10" s="113" t="s">
        <v>4614</v>
      </c>
      <c r="L10" s="113" t="s">
        <v>4615</v>
      </c>
      <c r="M10" s="113" t="s">
        <v>4616</v>
      </c>
      <c r="N10" s="112"/>
      <c r="O10" s="3" t="s">
        <v>4654</v>
      </c>
      <c r="P10" s="3" t="s">
        <v>4655</v>
      </c>
      <c r="Q10" s="146"/>
      <c r="R10" s="161"/>
      <c r="S10" s="161"/>
      <c r="T10" s="161"/>
      <c r="U10" s="161"/>
      <c r="V10" s="161"/>
      <c r="W10" s="161"/>
      <c r="X10" s="161"/>
      <c r="Y10" s="161"/>
      <c r="Z10" s="161"/>
      <c r="AA10" s="161"/>
      <c r="AB10" s="161"/>
    </row>
    <row r="11" spans="1:28" ht="345.6">
      <c r="A11" s="15">
        <v>10</v>
      </c>
      <c r="B11" s="2" t="s">
        <v>4656</v>
      </c>
      <c r="C11" s="451">
        <v>40430</v>
      </c>
      <c r="D11" s="113" t="s">
        <v>4657</v>
      </c>
      <c r="E11" s="113" t="s">
        <v>4658</v>
      </c>
      <c r="F11" s="113" t="s">
        <v>4610</v>
      </c>
      <c r="G11" s="113" t="s">
        <v>4659</v>
      </c>
      <c r="H11" s="113" t="s">
        <v>4660</v>
      </c>
      <c r="I11" s="113" t="s">
        <v>4661</v>
      </c>
      <c r="J11" s="113" t="s">
        <v>4662</v>
      </c>
      <c r="K11" s="113" t="s">
        <v>4663</v>
      </c>
      <c r="L11" s="113" t="s">
        <v>4615</v>
      </c>
      <c r="M11" s="113" t="s">
        <v>4664</v>
      </c>
      <c r="N11" s="112"/>
      <c r="O11" s="3" t="s">
        <v>4665</v>
      </c>
      <c r="P11" s="3" t="s">
        <v>4666</v>
      </c>
      <c r="Q11" s="146"/>
      <c r="R11" s="161"/>
      <c r="S11" s="161"/>
      <c r="T11" s="161"/>
      <c r="U11" s="161"/>
      <c r="V11" s="161"/>
      <c r="W11" s="161"/>
      <c r="X11" s="161"/>
      <c r="Y11" s="161"/>
      <c r="Z11" s="161"/>
      <c r="AA11" s="161"/>
      <c r="AB11" s="161"/>
    </row>
    <row r="12" spans="1:28" ht="302.39999999999998" customHeight="1">
      <c r="A12" s="15">
        <v>11</v>
      </c>
      <c r="B12" s="2" t="s">
        <v>4667</v>
      </c>
      <c r="C12" s="451">
        <v>40430</v>
      </c>
      <c r="D12" s="113" t="s">
        <v>4668</v>
      </c>
      <c r="E12" s="113" t="s">
        <v>4658</v>
      </c>
      <c r="F12" s="113" t="s">
        <v>4610</v>
      </c>
      <c r="G12" s="113" t="s">
        <v>4659</v>
      </c>
      <c r="H12" s="113" t="s">
        <v>4660</v>
      </c>
      <c r="I12" s="113" t="s">
        <v>4661</v>
      </c>
      <c r="J12" s="113"/>
      <c r="K12" s="113" t="s">
        <v>4663</v>
      </c>
      <c r="L12" s="113" t="s">
        <v>4615</v>
      </c>
      <c r="M12" s="113" t="s">
        <v>4669</v>
      </c>
      <c r="N12" s="112"/>
      <c r="O12" s="3" t="s">
        <v>4670</v>
      </c>
      <c r="P12" s="3" t="s">
        <v>4671</v>
      </c>
      <c r="Q12" s="146"/>
      <c r="R12" s="161"/>
      <c r="S12" s="161"/>
      <c r="T12" s="161"/>
      <c r="U12" s="161"/>
      <c r="V12" s="161"/>
      <c r="W12" s="161"/>
      <c r="X12" s="161"/>
      <c r="Y12" s="161"/>
      <c r="Z12" s="161"/>
      <c r="AA12" s="161"/>
      <c r="AB12" s="161"/>
    </row>
    <row r="13" spans="1:28" ht="409.6">
      <c r="A13" s="15">
        <v>12</v>
      </c>
      <c r="B13" s="2" t="s">
        <v>4672</v>
      </c>
      <c r="C13" s="451">
        <v>40430</v>
      </c>
      <c r="D13" s="113" t="s">
        <v>4673</v>
      </c>
      <c r="E13" s="113" t="s">
        <v>4658</v>
      </c>
      <c r="F13" s="113" t="s">
        <v>4610</v>
      </c>
      <c r="G13" s="113" t="s">
        <v>4659</v>
      </c>
      <c r="H13" s="113" t="s">
        <v>4660</v>
      </c>
      <c r="I13" s="113" t="s">
        <v>4661</v>
      </c>
      <c r="J13" s="113" t="s">
        <v>4662</v>
      </c>
      <c r="K13" s="113" t="s">
        <v>4663</v>
      </c>
      <c r="L13" s="113" t="s">
        <v>4615</v>
      </c>
      <c r="M13" s="113" t="s">
        <v>4674</v>
      </c>
      <c r="N13" s="112"/>
      <c r="O13" s="3" t="s">
        <v>4675</v>
      </c>
      <c r="P13" s="3" t="s">
        <v>4676</v>
      </c>
      <c r="Q13" s="146"/>
      <c r="R13" s="161"/>
      <c r="S13" s="161"/>
      <c r="T13" s="161"/>
      <c r="U13" s="161"/>
      <c r="V13" s="161"/>
      <c r="W13" s="161"/>
      <c r="X13" s="161"/>
      <c r="Y13" s="161"/>
      <c r="Z13" s="161"/>
      <c r="AA13" s="161"/>
      <c r="AB13" s="161"/>
    </row>
    <row r="14" spans="1:28" ht="302.39999999999998">
      <c r="A14" s="15">
        <v>13</v>
      </c>
      <c r="B14" s="2" t="s">
        <v>4677</v>
      </c>
      <c r="C14" s="451">
        <v>41252</v>
      </c>
      <c r="D14" s="113" t="s">
        <v>4678</v>
      </c>
      <c r="E14" s="452" t="s">
        <v>4679</v>
      </c>
      <c r="F14" s="113" t="s">
        <v>4680</v>
      </c>
      <c r="G14" s="113" t="s">
        <v>4681</v>
      </c>
      <c r="H14" s="113" t="s">
        <v>4682</v>
      </c>
      <c r="I14" s="113" t="s">
        <v>4683</v>
      </c>
      <c r="J14" s="113" t="s">
        <v>4684</v>
      </c>
      <c r="K14" s="113" t="s">
        <v>4663</v>
      </c>
      <c r="L14" s="113" t="s">
        <v>4615</v>
      </c>
      <c r="M14" s="113"/>
      <c r="N14" s="112"/>
      <c r="O14" s="3" t="s">
        <v>4685</v>
      </c>
      <c r="P14" s="3" t="s">
        <v>4686</v>
      </c>
      <c r="Q14" s="146"/>
      <c r="R14" s="161"/>
      <c r="S14" s="161"/>
      <c r="T14" s="161"/>
      <c r="U14" s="161"/>
      <c r="V14" s="161"/>
      <c r="W14" s="161"/>
      <c r="X14" s="161"/>
      <c r="Y14" s="161"/>
      <c r="Z14" s="161"/>
      <c r="AA14" s="161"/>
      <c r="AB14" s="161"/>
    </row>
    <row r="15" spans="1:28" ht="33.75" customHeight="1">
      <c r="A15" s="15" t="s">
        <v>4687</v>
      </c>
      <c r="B15" s="2" t="s">
        <v>4688</v>
      </c>
      <c r="C15" s="451">
        <v>41321</v>
      </c>
      <c r="D15" s="539" t="s">
        <v>4689</v>
      </c>
      <c r="E15" s="113" t="s">
        <v>4690</v>
      </c>
      <c r="F15" s="539" t="s">
        <v>4680</v>
      </c>
      <c r="G15" s="539"/>
      <c r="H15" s="539" t="s">
        <v>4682</v>
      </c>
      <c r="I15" s="530"/>
      <c r="J15" s="531"/>
      <c r="K15" s="539" t="s">
        <v>4663</v>
      </c>
      <c r="L15" s="539" t="s">
        <v>4615</v>
      </c>
      <c r="M15" s="539" t="s">
        <v>4691</v>
      </c>
      <c r="N15" s="542"/>
      <c r="O15" s="545" t="s">
        <v>4692</v>
      </c>
      <c r="P15" s="545" t="s">
        <v>4693</v>
      </c>
      <c r="Q15" s="536"/>
      <c r="R15" s="528"/>
      <c r="S15" s="528"/>
      <c r="T15" s="528"/>
      <c r="U15" s="528"/>
      <c r="V15" s="528"/>
      <c r="W15" s="528"/>
      <c r="X15" s="528"/>
      <c r="Y15" s="529"/>
      <c r="Z15" s="529"/>
      <c r="AA15" s="529"/>
      <c r="AB15" s="529"/>
    </row>
    <row r="16" spans="1:28" ht="33.75" customHeight="1">
      <c r="A16" s="15" t="s">
        <v>4694</v>
      </c>
      <c r="B16" s="2" t="s">
        <v>4695</v>
      </c>
      <c r="C16" s="451">
        <v>41347</v>
      </c>
      <c r="D16" s="540"/>
      <c r="E16" s="113" t="s">
        <v>4696</v>
      </c>
      <c r="F16" s="540"/>
      <c r="G16" s="540"/>
      <c r="H16" s="540"/>
      <c r="I16" s="532"/>
      <c r="J16" s="533"/>
      <c r="K16" s="540"/>
      <c r="L16" s="540"/>
      <c r="M16" s="540"/>
      <c r="N16" s="543"/>
      <c r="O16" s="546"/>
      <c r="P16" s="546"/>
      <c r="Q16" s="537"/>
      <c r="R16" s="529"/>
      <c r="S16" s="529"/>
      <c r="T16" s="529"/>
      <c r="U16" s="529"/>
      <c r="V16" s="529"/>
      <c r="W16" s="529"/>
      <c r="X16" s="529"/>
      <c r="Y16" s="529"/>
      <c r="Z16" s="529"/>
      <c r="AA16" s="529"/>
      <c r="AB16" s="529"/>
    </row>
    <row r="17" spans="1:28" ht="33.75" customHeight="1">
      <c r="A17" s="15" t="s">
        <v>4697</v>
      </c>
      <c r="B17" s="2" t="s">
        <v>4698</v>
      </c>
      <c r="C17" s="451">
        <v>41347</v>
      </c>
      <c r="D17" s="541"/>
      <c r="E17" s="113" t="s">
        <v>4690</v>
      </c>
      <c r="F17" s="541"/>
      <c r="G17" s="541"/>
      <c r="H17" s="541"/>
      <c r="I17" s="534"/>
      <c r="J17" s="535"/>
      <c r="K17" s="541"/>
      <c r="L17" s="541"/>
      <c r="M17" s="541"/>
      <c r="N17" s="544"/>
      <c r="O17" s="547"/>
      <c r="P17" s="547"/>
      <c r="Q17" s="538"/>
      <c r="R17" s="529"/>
      <c r="S17" s="529"/>
      <c r="T17" s="529"/>
      <c r="U17" s="529"/>
      <c r="V17" s="529"/>
      <c r="W17" s="529"/>
      <c r="X17" s="529"/>
      <c r="Y17" s="529"/>
      <c r="Z17" s="529"/>
      <c r="AA17" s="529"/>
      <c r="AB17" s="529"/>
    </row>
    <row r="18" spans="1:28" ht="331.2">
      <c r="A18" s="15">
        <v>15</v>
      </c>
      <c r="B18" s="2" t="s">
        <v>4699</v>
      </c>
      <c r="C18" s="420">
        <v>42241</v>
      </c>
      <c r="D18" s="113" t="s">
        <v>4700</v>
      </c>
      <c r="E18" s="113" t="s">
        <v>4701</v>
      </c>
      <c r="F18" s="113"/>
      <c r="G18" s="113"/>
      <c r="H18" s="113"/>
      <c r="I18" s="113"/>
      <c r="J18" s="113"/>
      <c r="K18" s="113"/>
      <c r="L18" s="113"/>
      <c r="M18" s="113"/>
      <c r="N18" s="161"/>
      <c r="O18" s="161"/>
      <c r="P18" s="161"/>
      <c r="Q18" s="161"/>
      <c r="R18" s="161"/>
      <c r="S18" s="161"/>
      <c r="T18" s="161"/>
      <c r="U18" s="161"/>
      <c r="V18" s="161"/>
      <c r="W18" s="161"/>
      <c r="X18" s="161"/>
      <c r="Y18" s="161"/>
      <c r="Z18" s="161"/>
      <c r="AA18" s="161"/>
      <c r="AB18" s="161"/>
    </row>
    <row r="19" spans="1:28" ht="144">
      <c r="A19" s="15">
        <v>16</v>
      </c>
      <c r="B19" s="8" t="s">
        <v>4702</v>
      </c>
      <c r="C19" s="437">
        <v>42955</v>
      </c>
      <c r="D19" s="113" t="s">
        <v>4703</v>
      </c>
      <c r="E19" s="113" t="s">
        <v>4704</v>
      </c>
      <c r="F19" s="5"/>
      <c r="G19" s="5"/>
      <c r="H19" s="5"/>
      <c r="I19" s="5"/>
      <c r="J19" s="5"/>
      <c r="K19" s="5"/>
      <c r="L19" s="5"/>
      <c r="M19" s="5"/>
      <c r="N19" s="4"/>
      <c r="O19" s="4"/>
      <c r="P19" s="4"/>
      <c r="Q19" s="4"/>
      <c r="R19" s="4"/>
      <c r="S19" s="4"/>
      <c r="T19" s="4"/>
      <c r="U19" s="4"/>
      <c r="V19" s="4"/>
      <c r="W19" s="4"/>
      <c r="X19" s="4"/>
      <c r="Y19" s="4"/>
      <c r="Z19" s="4"/>
      <c r="AA19" s="4"/>
      <c r="AB19" s="4"/>
    </row>
    <row r="20" spans="1:28" s="183" customFormat="1" ht="14.4">
      <c r="A20" s="453">
        <v>17</v>
      </c>
      <c r="B20" s="182" t="s">
        <v>4705</v>
      </c>
      <c r="C20" s="454">
        <f>DATE(2021,1,27)</f>
        <v>44223</v>
      </c>
      <c r="D20" s="455"/>
      <c r="E20" s="456" t="s">
        <v>4706</v>
      </c>
      <c r="F20" s="5"/>
      <c r="G20" s="5"/>
      <c r="H20" s="5"/>
      <c r="I20" s="5"/>
      <c r="J20" s="5"/>
      <c r="K20" s="5"/>
      <c r="L20" s="5"/>
      <c r="M20" s="5"/>
      <c r="N20" s="4"/>
      <c r="O20" s="4"/>
      <c r="P20" s="4"/>
      <c r="Q20" s="4"/>
      <c r="R20" s="169"/>
      <c r="S20" s="169"/>
      <c r="T20" s="169"/>
      <c r="U20" s="169"/>
      <c r="V20" s="169"/>
      <c r="W20" s="169"/>
      <c r="X20" s="169"/>
      <c r="Y20" s="169"/>
      <c r="Z20" s="169"/>
      <c r="AA20" s="169"/>
      <c r="AB20" s="169"/>
    </row>
    <row r="21" spans="1:28" ht="72">
      <c r="A21" s="15">
        <v>18</v>
      </c>
      <c r="B21" s="74" t="s">
        <v>4707</v>
      </c>
      <c r="C21" s="457">
        <v>44538</v>
      </c>
      <c r="D21" s="113" t="s">
        <v>4708</v>
      </c>
      <c r="E21" s="458" t="s">
        <v>4709</v>
      </c>
      <c r="F21" s="5"/>
      <c r="G21" s="5"/>
      <c r="H21" s="5"/>
      <c r="I21" s="5"/>
      <c r="J21" s="5"/>
      <c r="K21" s="5"/>
      <c r="L21" s="5"/>
      <c r="M21" s="5"/>
      <c r="N21" s="4"/>
      <c r="O21" s="4"/>
      <c r="P21" s="4"/>
      <c r="Q21" s="4"/>
      <c r="R21" s="4"/>
      <c r="S21" s="4"/>
      <c r="T21" s="4"/>
      <c r="U21" s="4"/>
      <c r="V21" s="4"/>
      <c r="W21" s="4"/>
      <c r="X21" s="4"/>
      <c r="Y21" s="4"/>
      <c r="Z21" s="4"/>
      <c r="AA21" s="4"/>
      <c r="AB21" s="4"/>
    </row>
    <row r="22" spans="1:28" s="19" customFormat="1" ht="72">
      <c r="A22" s="15">
        <v>19</v>
      </c>
      <c r="B22" s="74" t="s">
        <v>4710</v>
      </c>
      <c r="C22" s="459">
        <v>44670</v>
      </c>
      <c r="D22" s="113" t="s">
        <v>4711</v>
      </c>
      <c r="E22" s="353" t="s">
        <v>4712</v>
      </c>
      <c r="F22" s="5"/>
      <c r="G22" s="5"/>
      <c r="H22" s="5"/>
      <c r="I22" s="5"/>
      <c r="J22" s="5"/>
      <c r="K22" s="5"/>
      <c r="L22" s="5"/>
      <c r="M22" s="5"/>
      <c r="N22" s="4"/>
      <c r="O22" s="4"/>
      <c r="P22" s="4"/>
      <c r="Q22" s="4"/>
      <c r="R22" s="4"/>
      <c r="S22" s="4"/>
      <c r="T22" s="4"/>
      <c r="U22" s="4"/>
      <c r="V22" s="4"/>
      <c r="W22" s="4"/>
      <c r="X22" s="4"/>
      <c r="Y22" s="4"/>
      <c r="Z22" s="4"/>
      <c r="AA22" s="4"/>
      <c r="AB22" s="4"/>
    </row>
    <row r="23" spans="1:28" s="5" customFormat="1" ht="43.2">
      <c r="A23" s="15">
        <v>20</v>
      </c>
      <c r="B23" s="74" t="s">
        <v>4713</v>
      </c>
      <c r="C23" s="459">
        <v>44846</v>
      </c>
      <c r="D23" s="429" t="s">
        <v>4714</v>
      </c>
      <c r="E23" s="90" t="s">
        <v>4715</v>
      </c>
      <c r="N23" s="108"/>
      <c r="O23" s="108"/>
      <c r="P23" s="108"/>
      <c r="Q23" s="108"/>
    </row>
    <row r="24" spans="1:28" s="19" customFormat="1" ht="86.4">
      <c r="A24" s="15">
        <v>21</v>
      </c>
      <c r="B24" s="74" t="s">
        <v>4716</v>
      </c>
      <c r="C24" s="460">
        <v>45252</v>
      </c>
      <c r="D24" s="113" t="s">
        <v>4717</v>
      </c>
      <c r="E24" s="461" t="s">
        <v>4718</v>
      </c>
      <c r="F24" s="5"/>
      <c r="G24" s="5"/>
      <c r="H24" s="5"/>
      <c r="I24" s="5"/>
      <c r="J24" s="5"/>
      <c r="K24" s="5"/>
      <c r="L24" s="5"/>
      <c r="M24" s="5"/>
      <c r="N24" s="4"/>
      <c r="O24" s="4"/>
      <c r="P24" s="4"/>
      <c r="Q24" s="4"/>
      <c r="R24" s="4"/>
      <c r="S24" s="4"/>
      <c r="T24" s="4"/>
      <c r="U24" s="4"/>
      <c r="V24" s="4"/>
      <c r="W24" s="4"/>
      <c r="X24" s="4"/>
      <c r="Y24" s="4"/>
      <c r="Z24" s="4"/>
      <c r="AA24" s="4"/>
      <c r="AB24" s="4"/>
    </row>
    <row r="25" spans="1:28" ht="72">
      <c r="A25" s="15">
        <v>22</v>
      </c>
      <c r="B25" s="167" t="s">
        <v>1086</v>
      </c>
      <c r="C25" s="425">
        <f>DATE(2024,10,8)</f>
        <v>45573</v>
      </c>
      <c r="D25" s="130" t="s">
        <v>1087</v>
      </c>
      <c r="E25" s="113" t="s">
        <v>4719</v>
      </c>
      <c r="F25" s="5"/>
      <c r="G25" s="5"/>
      <c r="H25" s="5"/>
      <c r="I25" s="5"/>
      <c r="J25" s="5"/>
      <c r="K25" s="5"/>
      <c r="L25" s="5"/>
      <c r="M25" s="5"/>
      <c r="N25" s="4"/>
      <c r="O25" s="4"/>
      <c r="P25" s="4"/>
      <c r="Q25" s="4"/>
      <c r="R25" s="4"/>
      <c r="S25" s="4"/>
      <c r="T25" s="4"/>
      <c r="U25" s="4"/>
      <c r="V25" s="4"/>
      <c r="W25" s="4"/>
      <c r="X25" s="4"/>
      <c r="Y25" s="4"/>
      <c r="Z25" s="4"/>
      <c r="AA25" s="4"/>
      <c r="AB25" s="4"/>
    </row>
    <row r="26" spans="1:28" ht="158.4">
      <c r="A26" s="15">
        <v>23</v>
      </c>
      <c r="B26" s="167" t="s">
        <v>4720</v>
      </c>
      <c r="C26" s="425">
        <f>DATE(2025,12,16)</f>
        <v>46007</v>
      </c>
      <c r="D26" s="130" t="s">
        <v>4721</v>
      </c>
      <c r="E26" s="113" t="s">
        <v>4722</v>
      </c>
      <c r="F26" s="5"/>
      <c r="G26" s="5"/>
      <c r="H26" s="5"/>
      <c r="I26" s="5"/>
      <c r="J26" s="5"/>
      <c r="K26" s="5"/>
      <c r="L26" s="5"/>
      <c r="M26" s="5"/>
      <c r="N26" s="4"/>
      <c r="O26" s="4"/>
      <c r="P26" s="4"/>
      <c r="Q26" s="4"/>
      <c r="R26" s="4"/>
      <c r="S26" s="4"/>
      <c r="T26" s="4"/>
      <c r="U26" s="4"/>
      <c r="V26" s="4"/>
      <c r="W26" s="4"/>
      <c r="X26" s="4"/>
      <c r="Y26" s="4"/>
      <c r="Z26" s="4"/>
      <c r="AA26" s="4"/>
      <c r="AB26" s="4"/>
    </row>
    <row r="27" spans="1:28" ht="33.75" customHeight="1">
      <c r="A27" s="4"/>
      <c r="B27" s="5"/>
      <c r="C27" s="4"/>
      <c r="D27" s="4"/>
      <c r="E27" s="161"/>
      <c r="F27" s="4"/>
      <c r="G27" s="4"/>
      <c r="H27" s="4"/>
      <c r="I27" s="4"/>
      <c r="J27" s="4"/>
      <c r="K27" s="4"/>
      <c r="L27" s="4"/>
      <c r="M27" s="4"/>
      <c r="N27" s="4"/>
      <c r="O27" s="4"/>
      <c r="P27" s="4"/>
      <c r="Q27" s="4"/>
      <c r="R27" s="4"/>
      <c r="S27" s="4"/>
      <c r="T27" s="4"/>
      <c r="U27" s="4"/>
      <c r="V27" s="4"/>
      <c r="W27" s="4"/>
      <c r="X27" s="4"/>
      <c r="Y27" s="4"/>
      <c r="Z27" s="4"/>
      <c r="AA27" s="4"/>
      <c r="AB27" s="4"/>
    </row>
    <row r="28" spans="1:28" ht="33.75" customHeight="1">
      <c r="A28" s="4"/>
      <c r="B28" s="5"/>
      <c r="C28" s="4"/>
      <c r="D28" s="4"/>
      <c r="E28" s="161"/>
      <c r="F28" s="4"/>
      <c r="G28" s="4"/>
      <c r="H28" s="4"/>
      <c r="I28" s="4"/>
      <c r="J28" s="4"/>
      <c r="K28" s="4"/>
      <c r="L28" s="4"/>
      <c r="M28" s="4"/>
      <c r="N28" s="4"/>
      <c r="O28" s="4"/>
      <c r="P28" s="4"/>
      <c r="Q28" s="4"/>
      <c r="R28" s="4"/>
      <c r="S28" s="4"/>
      <c r="T28" s="4"/>
      <c r="U28" s="4"/>
      <c r="V28" s="4"/>
      <c r="W28" s="4"/>
      <c r="X28" s="4"/>
      <c r="Y28" s="4"/>
      <c r="Z28" s="4"/>
      <c r="AA28" s="4"/>
      <c r="AB28" s="4"/>
    </row>
    <row r="29" spans="1:28" ht="33.75" customHeight="1">
      <c r="A29" s="4"/>
      <c r="B29" s="5"/>
      <c r="C29" s="4"/>
      <c r="D29" s="4"/>
      <c r="E29" s="161"/>
      <c r="F29" s="4"/>
      <c r="G29" s="4"/>
      <c r="H29" s="4"/>
      <c r="I29" s="4"/>
      <c r="J29" s="4"/>
      <c r="K29" s="4"/>
      <c r="L29" s="4"/>
      <c r="M29" s="4"/>
      <c r="N29" s="4"/>
      <c r="O29" s="4"/>
      <c r="P29" s="4"/>
      <c r="Q29" s="4"/>
      <c r="R29" s="4"/>
      <c r="S29" s="4"/>
      <c r="T29" s="4"/>
      <c r="U29" s="4"/>
      <c r="V29" s="4"/>
      <c r="W29" s="4"/>
      <c r="X29" s="4"/>
      <c r="Y29" s="4"/>
      <c r="Z29" s="4"/>
      <c r="AA29" s="4"/>
      <c r="AB29" s="4"/>
    </row>
    <row r="30" spans="1:28" ht="33.75" customHeight="1">
      <c r="A30" s="4"/>
      <c r="B30" s="5"/>
      <c r="C30" s="4"/>
      <c r="D30" s="4"/>
      <c r="E30" s="161"/>
      <c r="F30" s="4"/>
      <c r="G30" s="4"/>
      <c r="H30" s="4"/>
      <c r="I30" s="4"/>
      <c r="J30" s="4"/>
      <c r="K30" s="4"/>
      <c r="L30" s="4"/>
      <c r="M30" s="4"/>
      <c r="N30" s="4"/>
      <c r="O30" s="4"/>
      <c r="P30" s="4"/>
      <c r="Q30" s="4"/>
      <c r="R30" s="4"/>
      <c r="S30" s="4"/>
      <c r="T30" s="4"/>
      <c r="U30" s="4"/>
      <c r="V30" s="4"/>
      <c r="W30" s="4"/>
      <c r="X30" s="4"/>
      <c r="Y30" s="4"/>
      <c r="Z30" s="4"/>
      <c r="AA30" s="4"/>
      <c r="AB30" s="4"/>
    </row>
    <row r="31" spans="1:28" ht="33.75" customHeight="1">
      <c r="A31" s="4"/>
      <c r="B31" s="5"/>
      <c r="C31" s="4"/>
      <c r="D31" s="4"/>
      <c r="E31" s="161"/>
      <c r="F31" s="4"/>
      <c r="G31" s="4"/>
      <c r="H31" s="4"/>
      <c r="I31" s="4"/>
      <c r="J31" s="4"/>
      <c r="K31" s="4"/>
      <c r="L31" s="4"/>
      <c r="M31" s="4"/>
      <c r="N31" s="4"/>
      <c r="O31" s="4"/>
      <c r="P31" s="4"/>
      <c r="Q31" s="4"/>
      <c r="R31" s="4"/>
      <c r="S31" s="4"/>
      <c r="T31" s="4"/>
      <c r="U31" s="4"/>
      <c r="V31" s="4"/>
      <c r="W31" s="4"/>
      <c r="X31" s="4"/>
      <c r="Y31" s="4"/>
      <c r="Z31" s="4"/>
      <c r="AA31" s="4"/>
      <c r="AB31" s="4"/>
    </row>
    <row r="32" spans="1:28" ht="33.75" customHeight="1">
      <c r="A32" s="4"/>
      <c r="B32" s="5"/>
      <c r="C32" s="4"/>
      <c r="D32" s="4"/>
      <c r="E32" s="161"/>
      <c r="F32" s="4"/>
      <c r="G32" s="4"/>
      <c r="H32" s="4"/>
      <c r="I32" s="4"/>
      <c r="J32" s="4"/>
      <c r="K32" s="4"/>
      <c r="L32" s="4"/>
      <c r="M32" s="4"/>
      <c r="N32" s="4"/>
      <c r="O32" s="4"/>
      <c r="P32" s="4"/>
      <c r="Q32" s="4"/>
      <c r="R32" s="4"/>
      <c r="S32" s="4"/>
      <c r="T32" s="4"/>
      <c r="U32" s="4"/>
      <c r="V32" s="4"/>
      <c r="W32" s="4"/>
      <c r="X32" s="4"/>
      <c r="Y32" s="4"/>
      <c r="Z32" s="4"/>
      <c r="AA32" s="4"/>
      <c r="AB32" s="4"/>
    </row>
    <row r="33" spans="1:28" ht="33.75" customHeight="1">
      <c r="A33" s="4"/>
      <c r="B33" s="5"/>
      <c r="C33" s="4"/>
      <c r="D33" s="4"/>
      <c r="E33" s="161"/>
      <c r="F33" s="4"/>
      <c r="G33" s="4"/>
      <c r="H33" s="4"/>
      <c r="I33" s="4"/>
      <c r="J33" s="4"/>
      <c r="K33" s="4"/>
      <c r="L33" s="4"/>
      <c r="M33" s="4"/>
      <c r="N33" s="4"/>
      <c r="O33" s="4"/>
      <c r="P33" s="4"/>
      <c r="Q33" s="4"/>
      <c r="R33" s="4"/>
      <c r="S33" s="4"/>
      <c r="T33" s="4"/>
      <c r="U33" s="4"/>
      <c r="V33" s="4"/>
      <c r="W33" s="4"/>
      <c r="X33" s="4"/>
      <c r="Y33" s="4"/>
      <c r="Z33" s="4"/>
      <c r="AA33" s="4"/>
      <c r="AB33" s="4"/>
    </row>
    <row r="34" spans="1:28" ht="33.75" customHeight="1">
      <c r="A34" s="4"/>
      <c r="B34" s="5"/>
      <c r="C34" s="4"/>
      <c r="D34" s="4"/>
      <c r="E34" s="161"/>
      <c r="F34" s="4"/>
      <c r="G34" s="4"/>
      <c r="H34" s="4"/>
      <c r="I34" s="4"/>
      <c r="J34" s="4"/>
      <c r="K34" s="4"/>
      <c r="L34" s="4"/>
      <c r="M34" s="4"/>
      <c r="N34" s="4"/>
      <c r="O34" s="4"/>
      <c r="P34" s="4"/>
      <c r="Q34" s="4"/>
      <c r="R34" s="4"/>
      <c r="S34" s="4"/>
      <c r="T34" s="4"/>
      <c r="U34" s="4"/>
      <c r="V34" s="4"/>
      <c r="W34" s="4"/>
      <c r="X34" s="4"/>
      <c r="Y34" s="4"/>
      <c r="Z34" s="4"/>
      <c r="AA34" s="4"/>
      <c r="AB34" s="4"/>
    </row>
    <row r="35" spans="1:28" ht="33.75" customHeight="1">
      <c r="A35" s="4"/>
      <c r="B35" s="5"/>
      <c r="C35" s="4"/>
      <c r="D35" s="4"/>
      <c r="E35" s="161"/>
      <c r="F35" s="4"/>
      <c r="G35" s="4"/>
      <c r="H35" s="4"/>
      <c r="I35" s="4"/>
      <c r="J35" s="4"/>
      <c r="K35" s="4"/>
      <c r="L35" s="4"/>
      <c r="M35" s="4"/>
      <c r="N35" s="4"/>
      <c r="O35" s="4"/>
      <c r="P35" s="4"/>
      <c r="Q35" s="4"/>
      <c r="R35" s="4"/>
      <c r="S35" s="4"/>
      <c r="T35" s="4"/>
      <c r="U35" s="4"/>
      <c r="V35" s="4"/>
      <c r="W35" s="4"/>
      <c r="X35" s="4"/>
      <c r="Y35" s="4"/>
      <c r="Z35" s="4"/>
      <c r="AA35" s="4"/>
      <c r="AB35" s="4"/>
    </row>
    <row r="36" spans="1:28" ht="33.75" customHeight="1">
      <c r="A36" s="4"/>
      <c r="B36" s="5"/>
      <c r="C36" s="4"/>
      <c r="D36" s="4"/>
      <c r="E36" s="161"/>
      <c r="F36" s="4"/>
      <c r="G36" s="4"/>
      <c r="H36" s="4"/>
      <c r="I36" s="4"/>
      <c r="J36" s="4"/>
      <c r="K36" s="4"/>
      <c r="L36" s="4"/>
      <c r="M36" s="4"/>
      <c r="N36" s="4"/>
      <c r="O36" s="4"/>
      <c r="P36" s="4"/>
      <c r="Q36" s="4"/>
      <c r="R36" s="4"/>
      <c r="S36" s="4"/>
      <c r="T36" s="4"/>
      <c r="U36" s="4"/>
      <c r="V36" s="4"/>
      <c r="W36" s="4"/>
      <c r="X36" s="4"/>
      <c r="Y36" s="4"/>
      <c r="Z36" s="4"/>
      <c r="AA36" s="4"/>
      <c r="AB36" s="4"/>
    </row>
    <row r="37" spans="1:28" ht="33.75" customHeight="1">
      <c r="A37" s="4"/>
      <c r="B37" s="5"/>
      <c r="C37" s="4"/>
      <c r="D37" s="4"/>
      <c r="E37" s="161"/>
      <c r="F37" s="4"/>
      <c r="G37" s="4"/>
      <c r="H37" s="4"/>
      <c r="I37" s="4"/>
      <c r="J37" s="4"/>
      <c r="K37" s="4"/>
      <c r="L37" s="4"/>
      <c r="M37" s="4"/>
      <c r="N37" s="4"/>
      <c r="O37" s="4"/>
      <c r="P37" s="4"/>
      <c r="Q37" s="4"/>
      <c r="R37" s="4"/>
      <c r="S37" s="4"/>
      <c r="T37" s="4"/>
      <c r="U37" s="4"/>
      <c r="V37" s="4"/>
      <c r="W37" s="4"/>
      <c r="X37" s="4"/>
      <c r="Y37" s="4"/>
      <c r="Z37" s="4"/>
      <c r="AA37" s="4"/>
      <c r="AB37" s="4"/>
    </row>
    <row r="38" spans="1:28" ht="33.75" customHeight="1">
      <c r="A38" s="4"/>
      <c r="B38" s="5"/>
      <c r="C38" s="4"/>
      <c r="D38" s="4"/>
      <c r="E38" s="161"/>
      <c r="F38" s="4"/>
      <c r="G38" s="4"/>
      <c r="H38" s="4"/>
      <c r="I38" s="4"/>
      <c r="J38" s="4"/>
      <c r="K38" s="4"/>
      <c r="L38" s="4"/>
      <c r="M38" s="4"/>
      <c r="N38" s="4"/>
      <c r="O38" s="4"/>
      <c r="P38" s="4"/>
      <c r="Q38" s="4"/>
      <c r="R38" s="4"/>
      <c r="S38" s="4"/>
      <c r="T38" s="4"/>
      <c r="U38" s="4"/>
      <c r="V38" s="4"/>
      <c r="W38" s="4"/>
      <c r="X38" s="4"/>
      <c r="Y38" s="4"/>
      <c r="Z38" s="4"/>
      <c r="AA38" s="4"/>
      <c r="AB38" s="4"/>
    </row>
    <row r="39" spans="1:28" ht="33.75" customHeight="1">
      <c r="A39" s="4"/>
      <c r="B39" s="5"/>
      <c r="C39" s="4"/>
      <c r="D39" s="4"/>
      <c r="E39" s="161"/>
      <c r="F39" s="4"/>
      <c r="G39" s="4"/>
      <c r="H39" s="4"/>
      <c r="I39" s="4"/>
      <c r="J39" s="4"/>
      <c r="K39" s="4"/>
      <c r="L39" s="4"/>
      <c r="M39" s="4"/>
      <c r="N39" s="4"/>
      <c r="O39" s="4"/>
      <c r="P39" s="4"/>
      <c r="Q39" s="4"/>
      <c r="R39" s="4"/>
      <c r="S39" s="4"/>
      <c r="T39" s="4"/>
      <c r="U39" s="4"/>
      <c r="V39" s="4"/>
      <c r="W39" s="4"/>
      <c r="X39" s="4"/>
      <c r="Y39" s="4"/>
      <c r="Z39" s="4"/>
      <c r="AA39" s="4"/>
      <c r="AB39" s="4"/>
    </row>
    <row r="40" spans="1:28" ht="33.75" customHeight="1">
      <c r="A40" s="4"/>
      <c r="B40" s="5"/>
      <c r="C40" s="4"/>
      <c r="D40" s="4"/>
      <c r="E40" s="161"/>
      <c r="F40" s="4"/>
      <c r="G40" s="4"/>
      <c r="H40" s="4"/>
      <c r="I40" s="4"/>
      <c r="J40" s="4"/>
      <c r="K40" s="4"/>
      <c r="L40" s="4"/>
      <c r="M40" s="4"/>
      <c r="N40" s="4"/>
      <c r="O40" s="4"/>
      <c r="P40" s="4"/>
      <c r="Q40" s="4"/>
      <c r="R40" s="4"/>
      <c r="S40" s="4"/>
      <c r="T40" s="4"/>
      <c r="U40" s="4"/>
      <c r="V40" s="4"/>
      <c r="W40" s="4"/>
      <c r="X40" s="4"/>
      <c r="Y40" s="4"/>
      <c r="Z40" s="4"/>
      <c r="AA40" s="4"/>
      <c r="AB40" s="4"/>
    </row>
    <row r="41" spans="1:28" ht="33.75" customHeight="1">
      <c r="A41" s="4"/>
      <c r="B41" s="5"/>
      <c r="C41" s="4"/>
      <c r="D41" s="4"/>
      <c r="E41" s="161"/>
      <c r="F41" s="4"/>
      <c r="G41" s="4"/>
      <c r="H41" s="4"/>
      <c r="I41" s="4"/>
      <c r="J41" s="4"/>
      <c r="K41" s="4"/>
      <c r="L41" s="4"/>
      <c r="M41" s="4"/>
      <c r="N41" s="4"/>
      <c r="O41" s="4"/>
      <c r="P41" s="4"/>
      <c r="Q41" s="4"/>
      <c r="R41" s="4"/>
      <c r="S41" s="4"/>
      <c r="T41" s="4"/>
      <c r="U41" s="4"/>
      <c r="V41" s="4"/>
      <c r="W41" s="4"/>
      <c r="X41" s="4"/>
      <c r="Y41" s="4"/>
      <c r="Z41" s="4"/>
      <c r="AA41" s="4"/>
      <c r="AB41" s="4"/>
    </row>
    <row r="42" spans="1:28" ht="33.75" customHeight="1">
      <c r="A42" s="4"/>
      <c r="B42" s="5"/>
      <c r="C42" s="4"/>
      <c r="D42" s="4"/>
      <c r="E42" s="161"/>
      <c r="F42" s="4"/>
      <c r="G42" s="4"/>
      <c r="H42" s="4"/>
      <c r="I42" s="4"/>
      <c r="J42" s="4"/>
      <c r="K42" s="4"/>
      <c r="L42" s="4"/>
      <c r="M42" s="4"/>
      <c r="N42" s="4"/>
      <c r="O42" s="4"/>
      <c r="P42" s="4"/>
      <c r="Q42" s="4"/>
      <c r="R42" s="4"/>
      <c r="S42" s="4"/>
      <c r="T42" s="4"/>
      <c r="U42" s="4"/>
      <c r="V42" s="4"/>
      <c r="W42" s="4"/>
      <c r="X42" s="4"/>
      <c r="Y42" s="4"/>
      <c r="Z42" s="4"/>
      <c r="AA42" s="4"/>
      <c r="AB42" s="4"/>
    </row>
    <row r="43" spans="1:28" ht="33.75" customHeight="1">
      <c r="A43" s="4"/>
      <c r="B43" s="5"/>
      <c r="C43" s="4"/>
      <c r="D43" s="4"/>
      <c r="E43" s="161"/>
      <c r="F43" s="4"/>
      <c r="G43" s="4"/>
      <c r="H43" s="4"/>
      <c r="I43" s="4"/>
      <c r="J43" s="4"/>
      <c r="K43" s="4"/>
      <c r="L43" s="4"/>
      <c r="M43" s="4"/>
      <c r="N43" s="4"/>
      <c r="O43" s="4"/>
      <c r="P43" s="4"/>
      <c r="Q43" s="4"/>
      <c r="R43" s="4"/>
      <c r="S43" s="4"/>
      <c r="T43" s="4"/>
      <c r="U43" s="4"/>
      <c r="V43" s="4"/>
      <c r="W43" s="4"/>
      <c r="X43" s="4"/>
      <c r="Y43" s="4"/>
      <c r="Z43" s="4"/>
      <c r="AA43" s="4"/>
      <c r="AB43" s="4"/>
    </row>
    <row r="44" spans="1:28" ht="33.75" customHeight="1">
      <c r="A44" s="4"/>
      <c r="B44" s="5"/>
      <c r="C44" s="4"/>
      <c r="D44" s="4"/>
      <c r="E44" s="161"/>
      <c r="F44" s="4"/>
      <c r="G44" s="4"/>
      <c r="H44" s="4"/>
      <c r="I44" s="4"/>
      <c r="J44" s="4"/>
      <c r="K44" s="4"/>
      <c r="L44" s="4"/>
      <c r="M44" s="4"/>
      <c r="N44" s="4"/>
      <c r="O44" s="4"/>
      <c r="P44" s="4"/>
      <c r="Q44" s="4"/>
      <c r="R44" s="4"/>
      <c r="S44" s="4"/>
      <c r="T44" s="4"/>
      <c r="U44" s="4"/>
      <c r="V44" s="4"/>
      <c r="W44" s="4"/>
      <c r="X44" s="4"/>
      <c r="Y44" s="4"/>
      <c r="Z44" s="4"/>
      <c r="AA44" s="4"/>
      <c r="AB44" s="4"/>
    </row>
    <row r="45" spans="1:28" ht="33.75" customHeight="1">
      <c r="A45" s="4"/>
      <c r="B45" s="5"/>
      <c r="C45" s="4"/>
      <c r="D45" s="4"/>
      <c r="E45" s="161"/>
      <c r="F45" s="4"/>
      <c r="G45" s="4"/>
      <c r="H45" s="4"/>
      <c r="I45" s="4"/>
      <c r="J45" s="4"/>
      <c r="K45" s="4"/>
      <c r="L45" s="4"/>
      <c r="M45" s="4"/>
      <c r="N45" s="4"/>
      <c r="O45" s="4"/>
      <c r="P45" s="4"/>
      <c r="Q45" s="4"/>
      <c r="R45" s="4"/>
      <c r="S45" s="4"/>
      <c r="T45" s="4"/>
      <c r="U45" s="4"/>
      <c r="V45" s="4"/>
      <c r="W45" s="4"/>
      <c r="X45" s="4"/>
      <c r="Y45" s="4"/>
      <c r="Z45" s="4"/>
      <c r="AA45" s="4"/>
      <c r="AB45" s="4"/>
    </row>
    <row r="46" spans="1:28" ht="33.75" customHeight="1">
      <c r="A46" s="4"/>
      <c r="B46" s="5"/>
      <c r="C46" s="4"/>
      <c r="D46" s="4"/>
      <c r="E46" s="161"/>
      <c r="F46" s="4"/>
      <c r="G46" s="4"/>
      <c r="H46" s="4"/>
      <c r="I46" s="4"/>
      <c r="J46" s="4"/>
      <c r="K46" s="4"/>
      <c r="L46" s="4"/>
      <c r="M46" s="4"/>
      <c r="N46" s="4"/>
      <c r="O46" s="4"/>
      <c r="P46" s="4"/>
      <c r="Q46" s="4"/>
      <c r="R46" s="4"/>
      <c r="S46" s="4"/>
      <c r="T46" s="4"/>
      <c r="U46" s="4"/>
      <c r="V46" s="4"/>
      <c r="W46" s="4"/>
      <c r="X46" s="4"/>
      <c r="Y46" s="4"/>
      <c r="Z46" s="4"/>
      <c r="AA46" s="4"/>
      <c r="AB46" s="4"/>
    </row>
    <row r="47" spans="1:28" ht="33.75" customHeight="1">
      <c r="A47" s="4"/>
      <c r="B47" s="5"/>
      <c r="C47" s="4"/>
      <c r="D47" s="4"/>
      <c r="E47" s="161"/>
      <c r="F47" s="4"/>
      <c r="G47" s="4"/>
      <c r="H47" s="4"/>
      <c r="I47" s="4"/>
      <c r="J47" s="4"/>
      <c r="K47" s="4"/>
      <c r="L47" s="4"/>
      <c r="M47" s="4"/>
      <c r="N47" s="4"/>
      <c r="O47" s="4"/>
      <c r="P47" s="4"/>
      <c r="Q47" s="4"/>
      <c r="R47" s="4"/>
      <c r="S47" s="4"/>
      <c r="T47" s="4"/>
      <c r="U47" s="4"/>
      <c r="V47" s="4"/>
      <c r="W47" s="4"/>
      <c r="X47" s="4"/>
      <c r="Y47" s="4"/>
      <c r="Z47" s="4"/>
      <c r="AA47" s="4"/>
      <c r="AB47" s="4"/>
    </row>
    <row r="48" spans="1:28" ht="33.75" customHeight="1">
      <c r="A48" s="4"/>
      <c r="B48" s="5"/>
      <c r="C48" s="4"/>
      <c r="D48" s="4"/>
      <c r="E48" s="161"/>
      <c r="F48" s="4"/>
      <c r="G48" s="4"/>
      <c r="H48" s="4"/>
      <c r="I48" s="4"/>
      <c r="J48" s="4"/>
      <c r="K48" s="4"/>
      <c r="L48" s="4"/>
      <c r="M48" s="4"/>
      <c r="N48" s="4"/>
      <c r="O48" s="4"/>
      <c r="P48" s="4"/>
      <c r="Q48" s="4"/>
      <c r="R48" s="4"/>
      <c r="S48" s="4"/>
      <c r="T48" s="4"/>
      <c r="U48" s="4"/>
      <c r="V48" s="4"/>
      <c r="W48" s="4"/>
      <c r="X48" s="4"/>
      <c r="Y48" s="4"/>
      <c r="Z48" s="4"/>
      <c r="AA48" s="4"/>
      <c r="AB48" s="4"/>
    </row>
    <row r="49" spans="1:28" ht="33.75" customHeight="1">
      <c r="A49" s="4"/>
      <c r="B49" s="5"/>
      <c r="C49" s="4"/>
      <c r="D49" s="4"/>
      <c r="E49" s="161"/>
      <c r="F49" s="4"/>
      <c r="G49" s="4"/>
      <c r="H49" s="4"/>
      <c r="I49" s="4"/>
      <c r="J49" s="4"/>
      <c r="K49" s="4"/>
      <c r="L49" s="4"/>
      <c r="M49" s="4"/>
      <c r="N49" s="4"/>
      <c r="O49" s="4"/>
      <c r="P49" s="4"/>
      <c r="Q49" s="4"/>
      <c r="R49" s="4"/>
      <c r="S49" s="4"/>
      <c r="T49" s="4"/>
      <c r="U49" s="4"/>
      <c r="V49" s="4"/>
      <c r="W49" s="4"/>
      <c r="X49" s="4"/>
      <c r="Y49" s="4"/>
      <c r="Z49" s="4"/>
      <c r="AA49" s="4"/>
      <c r="AB49" s="4"/>
    </row>
    <row r="50" spans="1:28" ht="33.75" customHeight="1">
      <c r="A50" s="4"/>
      <c r="B50" s="5"/>
      <c r="C50" s="4"/>
      <c r="D50" s="4"/>
      <c r="E50" s="161"/>
      <c r="F50" s="4"/>
      <c r="G50" s="4"/>
      <c r="H50" s="4"/>
      <c r="I50" s="4"/>
      <c r="J50" s="4"/>
      <c r="K50" s="4"/>
      <c r="L50" s="4"/>
      <c r="M50" s="4"/>
      <c r="N50" s="4"/>
      <c r="O50" s="4"/>
      <c r="P50" s="4"/>
      <c r="Q50" s="4"/>
      <c r="R50" s="4"/>
      <c r="S50" s="4"/>
      <c r="T50" s="4"/>
      <c r="U50" s="4"/>
      <c r="V50" s="4"/>
      <c r="W50" s="4"/>
      <c r="X50" s="4"/>
      <c r="Y50" s="4"/>
      <c r="Z50" s="4"/>
      <c r="AA50" s="4"/>
      <c r="AB50" s="4"/>
    </row>
    <row r="51" spans="1:28" ht="33.75" customHeight="1">
      <c r="A51" s="4"/>
      <c r="B51" s="5"/>
      <c r="C51" s="4"/>
      <c r="D51" s="4"/>
      <c r="E51" s="161"/>
      <c r="F51" s="4"/>
      <c r="G51" s="4"/>
      <c r="H51" s="4"/>
      <c r="I51" s="4"/>
      <c r="J51" s="4"/>
      <c r="K51" s="4"/>
      <c r="L51" s="4"/>
      <c r="M51" s="4"/>
      <c r="N51" s="4"/>
      <c r="O51" s="4"/>
      <c r="P51" s="4"/>
      <c r="Q51" s="4"/>
      <c r="R51" s="4"/>
      <c r="S51" s="4"/>
      <c r="T51" s="4"/>
      <c r="U51" s="4"/>
      <c r="V51" s="4"/>
      <c r="W51" s="4"/>
      <c r="X51" s="4"/>
      <c r="Y51" s="4"/>
      <c r="Z51" s="4"/>
      <c r="AA51" s="4"/>
      <c r="AB51" s="4"/>
    </row>
    <row r="52" spans="1:28" ht="33.75" customHeight="1">
      <c r="A52" s="4"/>
      <c r="B52" s="5"/>
      <c r="C52" s="4"/>
      <c r="D52" s="4"/>
      <c r="E52" s="161"/>
      <c r="F52" s="4"/>
      <c r="G52" s="4"/>
      <c r="H52" s="4"/>
      <c r="I52" s="4"/>
      <c r="J52" s="4"/>
      <c r="K52" s="4"/>
      <c r="L52" s="4"/>
      <c r="M52" s="4"/>
      <c r="N52" s="4"/>
      <c r="O52" s="4"/>
      <c r="P52" s="4"/>
      <c r="Q52" s="4"/>
      <c r="R52" s="4"/>
      <c r="S52" s="4"/>
      <c r="T52" s="4"/>
      <c r="U52" s="4"/>
      <c r="V52" s="4"/>
      <c r="W52" s="4"/>
      <c r="X52" s="4"/>
      <c r="Y52" s="4"/>
      <c r="Z52" s="4"/>
      <c r="AA52" s="4"/>
      <c r="AB52" s="4"/>
    </row>
    <row r="53" spans="1:28" ht="33.75" customHeight="1">
      <c r="A53" s="4"/>
      <c r="B53" s="5"/>
      <c r="C53" s="4"/>
      <c r="D53" s="4"/>
      <c r="E53" s="161"/>
      <c r="F53" s="4"/>
      <c r="G53" s="4"/>
      <c r="H53" s="4"/>
      <c r="I53" s="4"/>
      <c r="J53" s="4"/>
      <c r="K53" s="4"/>
      <c r="L53" s="4"/>
      <c r="M53" s="4"/>
      <c r="N53" s="4"/>
      <c r="O53" s="4"/>
      <c r="P53" s="4"/>
      <c r="Q53" s="4"/>
      <c r="R53" s="4"/>
      <c r="S53" s="4"/>
      <c r="T53" s="4"/>
      <c r="U53" s="4"/>
      <c r="V53" s="4"/>
      <c r="W53" s="4"/>
      <c r="X53" s="4"/>
      <c r="Y53" s="4"/>
      <c r="Z53" s="4"/>
      <c r="AA53" s="4"/>
      <c r="AB53" s="4"/>
    </row>
    <row r="54" spans="1:28" ht="33.75" customHeight="1">
      <c r="A54" s="4"/>
      <c r="B54" s="5"/>
      <c r="C54" s="4"/>
      <c r="D54" s="4"/>
      <c r="E54" s="161"/>
      <c r="F54" s="4"/>
      <c r="G54" s="4"/>
      <c r="H54" s="4"/>
      <c r="I54" s="4"/>
      <c r="J54" s="4"/>
      <c r="K54" s="4"/>
      <c r="L54" s="4"/>
      <c r="M54" s="4"/>
      <c r="N54" s="4"/>
      <c r="O54" s="4"/>
      <c r="P54" s="4"/>
      <c r="Q54" s="4"/>
      <c r="R54" s="4"/>
      <c r="S54" s="4"/>
      <c r="T54" s="4"/>
      <c r="U54" s="4"/>
      <c r="V54" s="4"/>
      <c r="W54" s="4"/>
      <c r="X54" s="4"/>
      <c r="Y54" s="4"/>
      <c r="Z54" s="4"/>
      <c r="AA54" s="4"/>
      <c r="AB54" s="4"/>
    </row>
    <row r="55" spans="1:28" ht="33.75" customHeight="1">
      <c r="A55" s="4"/>
      <c r="B55" s="5"/>
      <c r="C55" s="4"/>
      <c r="D55" s="4"/>
      <c r="E55" s="161"/>
      <c r="F55" s="4"/>
      <c r="G55" s="4"/>
      <c r="H55" s="4"/>
      <c r="I55" s="4"/>
      <c r="J55" s="4"/>
      <c r="K55" s="4"/>
      <c r="L55" s="4"/>
      <c r="M55" s="4"/>
      <c r="N55" s="4"/>
      <c r="O55" s="4"/>
      <c r="P55" s="4"/>
      <c r="Q55" s="4"/>
      <c r="R55" s="4"/>
      <c r="S55" s="4"/>
      <c r="T55" s="4"/>
      <c r="U55" s="4"/>
      <c r="V55" s="4"/>
      <c r="W55" s="4"/>
      <c r="X55" s="4"/>
      <c r="Y55" s="4"/>
      <c r="Z55" s="4"/>
      <c r="AA55" s="4"/>
      <c r="AB55" s="4"/>
    </row>
    <row r="56" spans="1:28" ht="33.75" customHeight="1">
      <c r="A56" s="4"/>
      <c r="B56" s="5"/>
      <c r="C56" s="4"/>
      <c r="D56" s="4"/>
      <c r="E56" s="161"/>
      <c r="F56" s="4"/>
      <c r="G56" s="4"/>
      <c r="H56" s="4"/>
      <c r="I56" s="4"/>
      <c r="J56" s="4"/>
      <c r="K56" s="4"/>
      <c r="L56" s="4"/>
      <c r="M56" s="4"/>
      <c r="N56" s="4"/>
      <c r="O56" s="4"/>
      <c r="P56" s="4"/>
      <c r="Q56" s="4"/>
      <c r="R56" s="4"/>
      <c r="S56" s="4"/>
      <c r="T56" s="4"/>
      <c r="U56" s="4"/>
      <c r="V56" s="4"/>
      <c r="W56" s="4"/>
      <c r="X56" s="4"/>
      <c r="Y56" s="4"/>
      <c r="Z56" s="4"/>
      <c r="AA56" s="4"/>
      <c r="AB56" s="4"/>
    </row>
    <row r="57" spans="1:28" ht="33.75" customHeight="1">
      <c r="A57" s="4"/>
      <c r="B57" s="5"/>
      <c r="C57" s="4"/>
      <c r="D57" s="4"/>
      <c r="E57" s="161"/>
      <c r="F57" s="4"/>
      <c r="G57" s="4"/>
      <c r="H57" s="4"/>
      <c r="I57" s="4"/>
      <c r="J57" s="4"/>
      <c r="K57" s="4"/>
      <c r="L57" s="4"/>
      <c r="M57" s="4"/>
      <c r="N57" s="4"/>
      <c r="O57" s="4"/>
      <c r="P57" s="4"/>
      <c r="Q57" s="4"/>
      <c r="R57" s="4"/>
      <c r="S57" s="4"/>
      <c r="T57" s="4"/>
      <c r="U57" s="4"/>
      <c r="V57" s="4"/>
      <c r="W57" s="4"/>
      <c r="X57" s="4"/>
      <c r="Y57" s="4"/>
      <c r="Z57" s="4"/>
      <c r="AA57" s="4"/>
      <c r="AB57" s="4"/>
    </row>
    <row r="58" spans="1:28" ht="33.75" customHeight="1">
      <c r="A58" s="4"/>
      <c r="B58" s="5"/>
      <c r="C58" s="4"/>
      <c r="D58" s="4"/>
      <c r="E58" s="161"/>
      <c r="F58" s="4"/>
      <c r="G58" s="4"/>
      <c r="H58" s="4"/>
      <c r="I58" s="4"/>
      <c r="J58" s="4"/>
      <c r="K58" s="4"/>
      <c r="L58" s="4"/>
      <c r="M58" s="4"/>
      <c r="N58" s="4"/>
      <c r="O58" s="4"/>
      <c r="P58" s="4"/>
      <c r="Q58" s="4"/>
      <c r="R58" s="4"/>
      <c r="S58" s="4"/>
      <c r="T58" s="4"/>
      <c r="U58" s="4"/>
      <c r="V58" s="4"/>
      <c r="W58" s="4"/>
      <c r="X58" s="4"/>
      <c r="Y58" s="4"/>
      <c r="Z58" s="4"/>
      <c r="AA58" s="4"/>
      <c r="AB58" s="4"/>
    </row>
    <row r="59" spans="1:28" ht="33.75" customHeight="1">
      <c r="A59" s="4"/>
      <c r="B59" s="5"/>
      <c r="C59" s="4"/>
      <c r="D59" s="4"/>
      <c r="E59" s="161"/>
      <c r="F59" s="4"/>
      <c r="G59" s="4"/>
      <c r="H59" s="4"/>
      <c r="I59" s="4"/>
      <c r="J59" s="4"/>
      <c r="K59" s="4"/>
      <c r="L59" s="4"/>
      <c r="M59" s="4"/>
      <c r="N59" s="4"/>
      <c r="O59" s="4"/>
      <c r="P59" s="4"/>
      <c r="Q59" s="4"/>
      <c r="R59" s="4"/>
      <c r="S59" s="4"/>
      <c r="T59" s="4"/>
      <c r="U59" s="4"/>
      <c r="V59" s="4"/>
      <c r="W59" s="4"/>
      <c r="X59" s="4"/>
      <c r="Y59" s="4"/>
      <c r="Z59" s="4"/>
      <c r="AA59" s="4"/>
      <c r="AB59" s="4"/>
    </row>
    <row r="60" spans="1:28" ht="33.75" customHeight="1">
      <c r="A60" s="4"/>
      <c r="B60" s="5"/>
      <c r="C60" s="4"/>
      <c r="D60" s="4"/>
      <c r="E60" s="161"/>
      <c r="F60" s="4"/>
      <c r="G60" s="4"/>
      <c r="H60" s="4"/>
      <c r="I60" s="4"/>
      <c r="J60" s="4"/>
      <c r="K60" s="4"/>
      <c r="L60" s="4"/>
      <c r="M60" s="4"/>
      <c r="N60" s="4"/>
      <c r="O60" s="4"/>
      <c r="P60" s="4"/>
      <c r="Q60" s="4"/>
      <c r="R60" s="4"/>
      <c r="S60" s="4"/>
      <c r="T60" s="4"/>
      <c r="U60" s="4"/>
      <c r="V60" s="4"/>
      <c r="W60" s="4"/>
      <c r="X60" s="4"/>
      <c r="Y60" s="4"/>
      <c r="Z60" s="4"/>
      <c r="AA60" s="4"/>
      <c r="AB60" s="4"/>
    </row>
    <row r="61" spans="1:28" ht="33.75" customHeight="1">
      <c r="A61" s="4"/>
      <c r="B61" s="5"/>
      <c r="C61" s="4"/>
      <c r="D61" s="4"/>
      <c r="E61" s="161"/>
      <c r="F61" s="4"/>
      <c r="G61" s="4"/>
      <c r="H61" s="4"/>
      <c r="I61" s="4"/>
      <c r="J61" s="4"/>
      <c r="K61" s="4"/>
      <c r="L61" s="4"/>
      <c r="M61" s="4"/>
      <c r="N61" s="4"/>
      <c r="O61" s="4"/>
      <c r="P61" s="4"/>
      <c r="Q61" s="4"/>
      <c r="R61" s="4"/>
      <c r="S61" s="4"/>
      <c r="T61" s="4"/>
      <c r="U61" s="4"/>
      <c r="V61" s="4"/>
      <c r="W61" s="4"/>
      <c r="X61" s="4"/>
      <c r="Y61" s="4"/>
      <c r="Z61" s="4"/>
      <c r="AA61" s="4"/>
      <c r="AB61" s="4"/>
    </row>
    <row r="62" spans="1:28" ht="33.75" customHeight="1">
      <c r="A62" s="4"/>
      <c r="B62" s="5"/>
      <c r="C62" s="4"/>
      <c r="D62" s="4"/>
      <c r="E62" s="161"/>
      <c r="F62" s="4"/>
      <c r="G62" s="4"/>
      <c r="H62" s="4"/>
      <c r="I62" s="4"/>
      <c r="J62" s="4"/>
      <c r="K62" s="4"/>
      <c r="L62" s="4"/>
      <c r="M62" s="4"/>
      <c r="N62" s="4"/>
      <c r="O62" s="4"/>
      <c r="P62" s="4"/>
      <c r="Q62" s="4"/>
      <c r="R62" s="4"/>
      <c r="S62" s="4"/>
      <c r="T62" s="4"/>
      <c r="U62" s="4"/>
      <c r="V62" s="4"/>
      <c r="W62" s="4"/>
      <c r="X62" s="4"/>
      <c r="Y62" s="4"/>
      <c r="Z62" s="4"/>
      <c r="AA62" s="4"/>
      <c r="AB62" s="4"/>
    </row>
    <row r="63" spans="1:28" ht="33.75" customHeight="1">
      <c r="A63" s="4"/>
      <c r="B63" s="5"/>
      <c r="C63" s="4"/>
      <c r="D63" s="4"/>
      <c r="E63" s="161"/>
      <c r="F63" s="4"/>
      <c r="G63" s="4"/>
      <c r="H63" s="4"/>
      <c r="I63" s="4"/>
      <c r="J63" s="4"/>
      <c r="K63" s="4"/>
      <c r="L63" s="4"/>
      <c r="M63" s="4"/>
      <c r="N63" s="4"/>
      <c r="O63" s="4"/>
      <c r="P63" s="4"/>
      <c r="Q63" s="4"/>
      <c r="R63" s="4"/>
      <c r="S63" s="4"/>
      <c r="T63" s="4"/>
      <c r="U63" s="4"/>
      <c r="V63" s="4"/>
      <c r="W63" s="4"/>
      <c r="X63" s="4"/>
      <c r="Y63" s="4"/>
      <c r="Z63" s="4"/>
      <c r="AA63" s="4"/>
      <c r="AB63" s="4"/>
    </row>
    <row r="64" spans="1:28" ht="33.75" customHeight="1">
      <c r="A64" s="4"/>
      <c r="B64" s="5"/>
      <c r="C64" s="4"/>
      <c r="D64" s="4"/>
      <c r="E64" s="161"/>
      <c r="F64" s="4"/>
      <c r="G64" s="4"/>
      <c r="H64" s="4"/>
      <c r="I64" s="4"/>
      <c r="J64" s="4"/>
      <c r="K64" s="4"/>
      <c r="L64" s="4"/>
      <c r="M64" s="4"/>
      <c r="N64" s="4"/>
      <c r="O64" s="4"/>
      <c r="P64" s="4"/>
      <c r="Q64" s="4"/>
      <c r="R64" s="4"/>
      <c r="S64" s="4"/>
      <c r="T64" s="4"/>
      <c r="U64" s="4"/>
      <c r="V64" s="4"/>
      <c r="W64" s="4"/>
      <c r="X64" s="4"/>
      <c r="Y64" s="4"/>
      <c r="Z64" s="4"/>
      <c r="AA64" s="4"/>
      <c r="AB64" s="4"/>
    </row>
    <row r="65" spans="1:28" ht="33.75" customHeight="1">
      <c r="A65" s="4"/>
      <c r="B65" s="5"/>
      <c r="C65" s="4"/>
      <c r="D65" s="4"/>
      <c r="E65" s="161"/>
      <c r="F65" s="4"/>
      <c r="G65" s="4"/>
      <c r="H65" s="4"/>
      <c r="I65" s="4"/>
      <c r="J65" s="4"/>
      <c r="K65" s="4"/>
      <c r="L65" s="4"/>
      <c r="M65" s="4"/>
      <c r="N65" s="4"/>
      <c r="O65" s="4"/>
      <c r="P65" s="4"/>
      <c r="Q65" s="4"/>
      <c r="R65" s="4"/>
      <c r="S65" s="4"/>
      <c r="T65" s="4"/>
      <c r="U65" s="4"/>
      <c r="V65" s="4"/>
      <c r="W65" s="4"/>
      <c r="X65" s="4"/>
      <c r="Y65" s="4"/>
      <c r="Z65" s="4"/>
      <c r="AA65" s="4"/>
      <c r="AB65" s="4"/>
    </row>
    <row r="66" spans="1:28" ht="33.75" customHeight="1">
      <c r="A66" s="4"/>
      <c r="B66" s="5"/>
      <c r="C66" s="4"/>
      <c r="D66" s="4"/>
      <c r="E66" s="161"/>
      <c r="F66" s="4"/>
      <c r="G66" s="4"/>
      <c r="H66" s="4"/>
      <c r="I66" s="4"/>
      <c r="J66" s="4"/>
      <c r="K66" s="4"/>
      <c r="L66" s="4"/>
      <c r="M66" s="4"/>
      <c r="N66" s="4"/>
      <c r="O66" s="4"/>
      <c r="P66" s="4"/>
      <c r="Q66" s="4"/>
      <c r="R66" s="4"/>
      <c r="S66" s="4"/>
      <c r="T66" s="4"/>
      <c r="U66" s="4"/>
      <c r="V66" s="4"/>
      <c r="W66" s="4"/>
      <c r="X66" s="4"/>
      <c r="Y66" s="4"/>
      <c r="Z66" s="4"/>
      <c r="AA66" s="4"/>
      <c r="AB66" s="4"/>
    </row>
    <row r="67" spans="1:28" ht="33.75" customHeight="1">
      <c r="A67" s="4"/>
      <c r="B67" s="5"/>
      <c r="C67" s="4"/>
      <c r="D67" s="4"/>
      <c r="E67" s="161"/>
      <c r="F67" s="4"/>
      <c r="G67" s="4"/>
      <c r="H67" s="4"/>
      <c r="I67" s="4"/>
      <c r="J67" s="4"/>
      <c r="K67" s="4"/>
      <c r="L67" s="4"/>
      <c r="M67" s="4"/>
      <c r="N67" s="4"/>
      <c r="O67" s="4"/>
      <c r="P67" s="4"/>
      <c r="Q67" s="4"/>
      <c r="R67" s="4"/>
      <c r="S67" s="4"/>
      <c r="T67" s="4"/>
      <c r="U67" s="4"/>
      <c r="V67" s="4"/>
      <c r="W67" s="4"/>
      <c r="X67" s="4"/>
      <c r="Y67" s="4"/>
      <c r="Z67" s="4"/>
      <c r="AA67" s="4"/>
      <c r="AB67" s="4"/>
    </row>
    <row r="68" spans="1:28" ht="33.75" customHeight="1">
      <c r="A68" s="4"/>
      <c r="B68" s="5"/>
      <c r="C68" s="4"/>
      <c r="D68" s="4"/>
      <c r="E68" s="161"/>
      <c r="F68" s="4"/>
      <c r="G68" s="4"/>
      <c r="H68" s="4"/>
      <c r="I68" s="4"/>
      <c r="J68" s="4"/>
      <c r="K68" s="4"/>
      <c r="L68" s="4"/>
      <c r="M68" s="4"/>
      <c r="N68" s="4"/>
      <c r="O68" s="4"/>
      <c r="P68" s="4"/>
      <c r="Q68" s="4"/>
      <c r="R68" s="4"/>
      <c r="S68" s="4"/>
      <c r="T68" s="4"/>
      <c r="U68" s="4"/>
      <c r="V68" s="4"/>
      <c r="W68" s="4"/>
      <c r="X68" s="4"/>
      <c r="Y68" s="4"/>
      <c r="Z68" s="4"/>
      <c r="AA68" s="4"/>
      <c r="AB68" s="4"/>
    </row>
    <row r="69" spans="1:28" ht="33.75" customHeight="1">
      <c r="A69" s="4"/>
      <c r="B69" s="5"/>
      <c r="C69" s="4"/>
      <c r="D69" s="4"/>
      <c r="E69" s="161"/>
      <c r="F69" s="4"/>
      <c r="G69" s="4"/>
      <c r="H69" s="4"/>
      <c r="I69" s="4"/>
      <c r="J69" s="4"/>
      <c r="K69" s="4"/>
      <c r="L69" s="4"/>
      <c r="M69" s="4"/>
      <c r="N69" s="4"/>
      <c r="O69" s="4"/>
      <c r="P69" s="4"/>
      <c r="Q69" s="4"/>
      <c r="R69" s="4"/>
      <c r="S69" s="4"/>
      <c r="T69" s="4"/>
      <c r="U69" s="4"/>
      <c r="V69" s="4"/>
      <c r="W69" s="4"/>
      <c r="X69" s="4"/>
      <c r="Y69" s="4"/>
      <c r="Z69" s="4"/>
      <c r="AA69" s="4"/>
      <c r="AB69" s="4"/>
    </row>
    <row r="70" spans="1:28" ht="33.75" customHeight="1">
      <c r="A70" s="4"/>
      <c r="B70" s="5"/>
      <c r="C70" s="4"/>
      <c r="D70" s="4"/>
      <c r="E70" s="161"/>
      <c r="F70" s="4"/>
      <c r="G70" s="4"/>
      <c r="H70" s="4"/>
      <c r="I70" s="4"/>
      <c r="J70" s="4"/>
      <c r="K70" s="4"/>
      <c r="L70" s="4"/>
      <c r="M70" s="4"/>
      <c r="N70" s="4"/>
      <c r="O70" s="4"/>
      <c r="P70" s="4"/>
      <c r="Q70" s="4"/>
      <c r="R70" s="4"/>
      <c r="S70" s="4"/>
      <c r="T70" s="4"/>
      <c r="U70" s="4"/>
      <c r="V70" s="4"/>
      <c r="W70" s="4"/>
      <c r="X70" s="4"/>
      <c r="Y70" s="4"/>
      <c r="Z70" s="4"/>
      <c r="AA70" s="4"/>
      <c r="AB70" s="4"/>
    </row>
    <row r="71" spans="1:28" ht="33.75" customHeight="1">
      <c r="A71" s="4"/>
      <c r="B71" s="5"/>
      <c r="C71" s="4"/>
      <c r="D71" s="4"/>
      <c r="E71" s="161"/>
      <c r="F71" s="4"/>
      <c r="G71" s="4"/>
      <c r="H71" s="4"/>
      <c r="I71" s="4"/>
      <c r="J71" s="4"/>
      <c r="K71" s="4"/>
      <c r="L71" s="4"/>
      <c r="M71" s="4"/>
      <c r="N71" s="4"/>
      <c r="O71" s="4"/>
      <c r="P71" s="4"/>
      <c r="Q71" s="4"/>
      <c r="R71" s="4"/>
      <c r="S71" s="4"/>
      <c r="T71" s="4"/>
      <c r="U71" s="4"/>
      <c r="V71" s="4"/>
      <c r="W71" s="4"/>
      <c r="X71" s="4"/>
      <c r="Y71" s="4"/>
      <c r="Z71" s="4"/>
      <c r="AA71" s="4"/>
      <c r="AB71" s="4"/>
    </row>
    <row r="72" spans="1:28" ht="33.75" customHeight="1">
      <c r="A72" s="4"/>
      <c r="B72" s="5"/>
      <c r="C72" s="4"/>
      <c r="D72" s="4"/>
      <c r="E72" s="161"/>
      <c r="F72" s="4"/>
      <c r="G72" s="4"/>
      <c r="H72" s="4"/>
      <c r="I72" s="4"/>
      <c r="J72" s="4"/>
      <c r="K72" s="4"/>
      <c r="L72" s="4"/>
      <c r="M72" s="4"/>
      <c r="N72" s="4"/>
      <c r="O72" s="4"/>
      <c r="P72" s="4"/>
      <c r="Q72" s="4"/>
      <c r="R72" s="4"/>
      <c r="S72" s="4"/>
      <c r="T72" s="4"/>
      <c r="U72" s="4"/>
      <c r="V72" s="4"/>
      <c r="W72" s="4"/>
      <c r="X72" s="4"/>
      <c r="Y72" s="4"/>
      <c r="Z72" s="4"/>
      <c r="AA72" s="4"/>
      <c r="AB72" s="4"/>
    </row>
    <row r="73" spans="1:28" ht="33.75" customHeight="1">
      <c r="A73" s="4"/>
      <c r="B73" s="5"/>
      <c r="C73" s="4"/>
      <c r="D73" s="4"/>
      <c r="E73" s="161"/>
      <c r="F73" s="4"/>
      <c r="G73" s="4"/>
      <c r="H73" s="4"/>
      <c r="I73" s="4"/>
      <c r="J73" s="4"/>
      <c r="K73" s="4"/>
      <c r="L73" s="4"/>
      <c r="M73" s="4"/>
      <c r="N73" s="4"/>
      <c r="O73" s="4"/>
      <c r="P73" s="4"/>
      <c r="Q73" s="4"/>
      <c r="R73" s="4"/>
      <c r="S73" s="4"/>
      <c r="T73" s="4"/>
      <c r="U73" s="4"/>
      <c r="V73" s="4"/>
      <c r="W73" s="4"/>
      <c r="X73" s="4"/>
      <c r="Y73" s="4"/>
      <c r="Z73" s="4"/>
      <c r="AA73" s="4"/>
      <c r="AB73" s="4"/>
    </row>
    <row r="74" spans="1:28" ht="33.75" customHeight="1">
      <c r="A74" s="4"/>
      <c r="B74" s="5"/>
      <c r="C74" s="4"/>
      <c r="D74" s="4"/>
      <c r="E74" s="161"/>
      <c r="F74" s="4"/>
      <c r="G74" s="4"/>
      <c r="H74" s="4"/>
      <c r="I74" s="4"/>
      <c r="J74" s="4"/>
      <c r="K74" s="4"/>
      <c r="L74" s="4"/>
      <c r="M74" s="4"/>
      <c r="N74" s="4"/>
      <c r="O74" s="4"/>
      <c r="P74" s="4"/>
      <c r="Q74" s="4"/>
      <c r="R74" s="4"/>
      <c r="S74" s="4"/>
      <c r="T74" s="4"/>
      <c r="U74" s="4"/>
      <c r="V74" s="4"/>
      <c r="W74" s="4"/>
      <c r="X74" s="4"/>
      <c r="Y74" s="4"/>
      <c r="Z74" s="4"/>
      <c r="AA74" s="4"/>
      <c r="AB74" s="4"/>
    </row>
    <row r="75" spans="1:28" ht="33.75" customHeight="1">
      <c r="A75" s="4"/>
      <c r="B75" s="5"/>
      <c r="C75" s="4"/>
      <c r="D75" s="4"/>
      <c r="E75" s="161"/>
      <c r="F75" s="4"/>
      <c r="G75" s="4"/>
      <c r="H75" s="4"/>
      <c r="I75" s="4"/>
      <c r="J75" s="4"/>
      <c r="K75" s="4"/>
      <c r="L75" s="4"/>
      <c r="M75" s="4"/>
      <c r="N75" s="4"/>
      <c r="O75" s="4"/>
      <c r="P75" s="4"/>
      <c r="Q75" s="4"/>
      <c r="R75" s="4"/>
      <c r="S75" s="4"/>
      <c r="T75" s="4"/>
      <c r="U75" s="4"/>
      <c r="V75" s="4"/>
      <c r="W75" s="4"/>
      <c r="X75" s="4"/>
      <c r="Y75" s="4"/>
      <c r="Z75" s="4"/>
      <c r="AA75" s="4"/>
      <c r="AB75" s="4"/>
    </row>
    <row r="76" spans="1:28" ht="33.75" customHeight="1">
      <c r="A76" s="4"/>
      <c r="B76" s="5"/>
      <c r="C76" s="4"/>
      <c r="D76" s="4"/>
      <c r="E76" s="161"/>
      <c r="F76" s="4"/>
      <c r="G76" s="4"/>
      <c r="H76" s="4"/>
      <c r="I76" s="4"/>
      <c r="J76" s="4"/>
      <c r="K76" s="4"/>
      <c r="L76" s="4"/>
      <c r="M76" s="4"/>
      <c r="N76" s="4"/>
      <c r="O76" s="4"/>
      <c r="P76" s="4"/>
      <c r="Q76" s="4"/>
      <c r="R76" s="4"/>
      <c r="S76" s="4"/>
      <c r="T76" s="4"/>
      <c r="U76" s="4"/>
      <c r="V76" s="4"/>
      <c r="W76" s="4"/>
      <c r="X76" s="4"/>
      <c r="Y76" s="4"/>
      <c r="Z76" s="4"/>
      <c r="AA76" s="4"/>
      <c r="AB76" s="4"/>
    </row>
    <row r="77" spans="1:28" ht="33.75" customHeight="1">
      <c r="A77" s="4"/>
      <c r="B77" s="5"/>
      <c r="C77" s="4"/>
      <c r="D77" s="4"/>
      <c r="E77" s="161"/>
      <c r="F77" s="4"/>
      <c r="G77" s="4"/>
      <c r="H77" s="4"/>
      <c r="I77" s="4"/>
      <c r="J77" s="4"/>
      <c r="K77" s="4"/>
      <c r="L77" s="4"/>
      <c r="M77" s="4"/>
      <c r="N77" s="4"/>
      <c r="O77" s="4"/>
      <c r="P77" s="4"/>
      <c r="Q77" s="4"/>
      <c r="R77" s="4"/>
      <c r="S77" s="4"/>
      <c r="T77" s="4"/>
      <c r="U77" s="4"/>
      <c r="V77" s="4"/>
      <c r="W77" s="4"/>
      <c r="X77" s="4"/>
      <c r="Y77" s="4"/>
      <c r="Z77" s="4"/>
      <c r="AA77" s="4"/>
      <c r="AB77" s="4"/>
    </row>
    <row r="78" spans="1:28" ht="33.75" customHeight="1">
      <c r="A78" s="4"/>
      <c r="B78" s="5"/>
      <c r="C78" s="4"/>
      <c r="D78" s="4"/>
      <c r="E78" s="161"/>
      <c r="F78" s="4"/>
      <c r="G78" s="4"/>
      <c r="H78" s="4"/>
      <c r="I78" s="4"/>
      <c r="J78" s="4"/>
      <c r="K78" s="4"/>
      <c r="L78" s="4"/>
      <c r="M78" s="4"/>
      <c r="N78" s="4"/>
      <c r="O78" s="4"/>
      <c r="P78" s="4"/>
      <c r="Q78" s="4"/>
      <c r="R78" s="4"/>
      <c r="S78" s="4"/>
      <c r="T78" s="4"/>
      <c r="U78" s="4"/>
      <c r="V78" s="4"/>
      <c r="W78" s="4"/>
      <c r="X78" s="4"/>
      <c r="Y78" s="4"/>
      <c r="Z78" s="4"/>
      <c r="AA78" s="4"/>
      <c r="AB78" s="4"/>
    </row>
    <row r="79" spans="1:28" ht="33.75" customHeight="1">
      <c r="A79" s="4"/>
      <c r="B79" s="5"/>
      <c r="C79" s="4"/>
      <c r="D79" s="4"/>
      <c r="E79" s="161"/>
      <c r="F79" s="4"/>
      <c r="G79" s="4"/>
      <c r="H79" s="4"/>
      <c r="I79" s="4"/>
      <c r="J79" s="4"/>
      <c r="K79" s="4"/>
      <c r="L79" s="4"/>
      <c r="M79" s="4"/>
      <c r="N79" s="4"/>
      <c r="O79" s="4"/>
      <c r="P79" s="4"/>
      <c r="Q79" s="4"/>
      <c r="R79" s="4"/>
      <c r="S79" s="4"/>
      <c r="T79" s="4"/>
      <c r="U79" s="4"/>
      <c r="V79" s="4"/>
      <c r="W79" s="4"/>
      <c r="X79" s="4"/>
      <c r="Y79" s="4"/>
      <c r="Z79" s="4"/>
      <c r="AA79" s="4"/>
      <c r="AB79" s="4"/>
    </row>
    <row r="80" spans="1:28" ht="33.75" customHeight="1">
      <c r="A80" s="4"/>
      <c r="B80" s="5"/>
      <c r="C80" s="4"/>
      <c r="D80" s="4"/>
      <c r="E80" s="161"/>
      <c r="F80" s="4"/>
      <c r="G80" s="4"/>
      <c r="H80" s="4"/>
      <c r="I80" s="4"/>
      <c r="J80" s="4"/>
      <c r="K80" s="4"/>
      <c r="L80" s="4"/>
      <c r="M80" s="4"/>
      <c r="N80" s="4"/>
      <c r="O80" s="4"/>
      <c r="P80" s="4"/>
      <c r="Q80" s="4"/>
      <c r="R80" s="4"/>
      <c r="S80" s="4"/>
      <c r="T80" s="4"/>
      <c r="U80" s="4"/>
      <c r="V80" s="4"/>
      <c r="W80" s="4"/>
      <c r="X80" s="4"/>
      <c r="Y80" s="4"/>
      <c r="Z80" s="4"/>
      <c r="AA80" s="4"/>
      <c r="AB80" s="4"/>
    </row>
    <row r="81" spans="1:28" ht="33.75" customHeight="1">
      <c r="A81" s="4"/>
      <c r="B81" s="5"/>
      <c r="C81" s="4"/>
      <c r="D81" s="4"/>
      <c r="E81" s="161"/>
      <c r="F81" s="4"/>
      <c r="G81" s="4"/>
      <c r="H81" s="4"/>
      <c r="I81" s="4"/>
      <c r="J81" s="4"/>
      <c r="K81" s="4"/>
      <c r="L81" s="4"/>
      <c r="M81" s="4"/>
      <c r="N81" s="4"/>
      <c r="O81" s="4"/>
      <c r="P81" s="4"/>
      <c r="Q81" s="4"/>
      <c r="R81" s="4"/>
      <c r="S81" s="4"/>
      <c r="T81" s="4"/>
      <c r="U81" s="4"/>
      <c r="V81" s="4"/>
      <c r="W81" s="4"/>
      <c r="X81" s="4"/>
      <c r="Y81" s="4"/>
      <c r="Z81" s="4"/>
      <c r="AA81" s="4"/>
      <c r="AB81" s="4"/>
    </row>
    <row r="82" spans="1:28" ht="33.75" customHeight="1">
      <c r="A82" s="4"/>
      <c r="B82" s="5"/>
      <c r="C82" s="4"/>
      <c r="D82" s="4"/>
      <c r="E82" s="161"/>
      <c r="F82" s="4"/>
      <c r="G82" s="4"/>
      <c r="H82" s="4"/>
      <c r="I82" s="4"/>
      <c r="J82" s="4"/>
      <c r="K82" s="4"/>
      <c r="L82" s="4"/>
      <c r="M82" s="4"/>
      <c r="N82" s="4"/>
      <c r="O82" s="4"/>
      <c r="P82" s="4"/>
      <c r="Q82" s="4"/>
      <c r="R82" s="4"/>
      <c r="S82" s="4"/>
      <c r="T82" s="4"/>
      <c r="U82" s="4"/>
      <c r="V82" s="4"/>
      <c r="W82" s="4"/>
      <c r="X82" s="4"/>
      <c r="Y82" s="4"/>
      <c r="Z82" s="4"/>
      <c r="AA82" s="4"/>
      <c r="AB82" s="4"/>
    </row>
    <row r="83" spans="1:28" ht="33.75" customHeight="1">
      <c r="A83" s="4"/>
      <c r="B83" s="5"/>
      <c r="C83" s="4"/>
      <c r="D83" s="4"/>
      <c r="E83" s="161"/>
      <c r="F83" s="4"/>
      <c r="G83" s="4"/>
      <c r="H83" s="4"/>
      <c r="I83" s="4"/>
      <c r="J83" s="4"/>
      <c r="K83" s="4"/>
      <c r="L83" s="4"/>
      <c r="M83" s="4"/>
      <c r="N83" s="4"/>
      <c r="O83" s="4"/>
      <c r="P83" s="4"/>
      <c r="Q83" s="4"/>
      <c r="R83" s="4"/>
      <c r="S83" s="4"/>
      <c r="T83" s="4"/>
      <c r="U83" s="4"/>
      <c r="V83" s="4"/>
      <c r="W83" s="4"/>
      <c r="X83" s="4"/>
      <c r="Y83" s="4"/>
      <c r="Z83" s="4"/>
      <c r="AA83" s="4"/>
      <c r="AB83" s="4"/>
    </row>
    <row r="84" spans="1:28" ht="33.75" customHeight="1">
      <c r="A84" s="4"/>
      <c r="B84" s="5"/>
      <c r="C84" s="4"/>
      <c r="D84" s="4"/>
      <c r="E84" s="161"/>
      <c r="F84" s="4"/>
      <c r="G84" s="4"/>
      <c r="H84" s="4"/>
      <c r="I84" s="4"/>
      <c r="J84" s="4"/>
      <c r="K84" s="4"/>
      <c r="L84" s="4"/>
      <c r="M84" s="4"/>
      <c r="N84" s="4"/>
      <c r="O84" s="4"/>
      <c r="P84" s="4"/>
      <c r="Q84" s="4"/>
      <c r="R84" s="4"/>
      <c r="S84" s="4"/>
      <c r="T84" s="4"/>
      <c r="U84" s="4"/>
      <c r="V84" s="4"/>
      <c r="W84" s="4"/>
      <c r="X84" s="4"/>
      <c r="Y84" s="4"/>
      <c r="Z84" s="4"/>
      <c r="AA84" s="4"/>
      <c r="AB84" s="4"/>
    </row>
    <row r="85" spans="1:28" ht="33.75" customHeight="1">
      <c r="A85" s="4"/>
      <c r="B85" s="5"/>
      <c r="C85" s="4"/>
      <c r="D85" s="4"/>
      <c r="E85" s="161"/>
      <c r="F85" s="4"/>
      <c r="G85" s="4"/>
      <c r="H85" s="4"/>
      <c r="I85" s="4"/>
      <c r="J85" s="4"/>
      <c r="K85" s="4"/>
      <c r="L85" s="4"/>
      <c r="M85" s="4"/>
      <c r="N85" s="4"/>
      <c r="O85" s="4"/>
      <c r="P85" s="4"/>
      <c r="Q85" s="4"/>
      <c r="R85" s="4"/>
      <c r="S85" s="4"/>
      <c r="T85" s="4"/>
      <c r="U85" s="4"/>
      <c r="V85" s="4"/>
      <c r="W85" s="4"/>
      <c r="X85" s="4"/>
      <c r="Y85" s="4"/>
      <c r="Z85" s="4"/>
      <c r="AA85" s="4"/>
      <c r="AB85" s="4"/>
    </row>
    <row r="86" spans="1:28" ht="33.75" customHeight="1">
      <c r="A86" s="4"/>
      <c r="B86" s="5"/>
      <c r="C86" s="4"/>
      <c r="D86" s="4"/>
      <c r="E86" s="161"/>
      <c r="F86" s="4"/>
      <c r="G86" s="4"/>
      <c r="H86" s="4"/>
      <c r="I86" s="4"/>
      <c r="J86" s="4"/>
      <c r="K86" s="4"/>
      <c r="L86" s="4"/>
      <c r="M86" s="4"/>
      <c r="N86" s="4"/>
      <c r="O86" s="4"/>
      <c r="P86" s="4"/>
      <c r="Q86" s="4"/>
      <c r="R86" s="4"/>
      <c r="S86" s="4"/>
      <c r="T86" s="4"/>
      <c r="U86" s="4"/>
      <c r="V86" s="4"/>
      <c r="W86" s="4"/>
      <c r="X86" s="4"/>
      <c r="Y86" s="4"/>
      <c r="Z86" s="4"/>
      <c r="AA86" s="4"/>
      <c r="AB86" s="4"/>
    </row>
    <row r="87" spans="1:28" ht="33.75" customHeight="1">
      <c r="A87" s="4"/>
      <c r="B87" s="5"/>
      <c r="C87" s="4"/>
      <c r="D87" s="4"/>
      <c r="E87" s="161"/>
      <c r="F87" s="4"/>
      <c r="G87" s="4"/>
      <c r="H87" s="4"/>
      <c r="I87" s="4"/>
      <c r="J87" s="4"/>
      <c r="K87" s="4"/>
      <c r="L87" s="4"/>
      <c r="M87" s="4"/>
      <c r="N87" s="4"/>
      <c r="O87" s="4"/>
      <c r="P87" s="4"/>
      <c r="Q87" s="4"/>
      <c r="R87" s="4"/>
      <c r="S87" s="4"/>
      <c r="T87" s="4"/>
      <c r="U87" s="4"/>
      <c r="V87" s="4"/>
      <c r="W87" s="4"/>
      <c r="X87" s="4"/>
      <c r="Y87" s="4"/>
      <c r="Z87" s="4"/>
      <c r="AA87" s="4"/>
      <c r="AB87" s="4"/>
    </row>
    <row r="88" spans="1:28" ht="33.75" customHeight="1">
      <c r="A88" s="4"/>
      <c r="B88" s="5"/>
      <c r="C88" s="4"/>
      <c r="D88" s="4"/>
      <c r="E88" s="161"/>
      <c r="F88" s="4"/>
      <c r="G88" s="4"/>
      <c r="H88" s="4"/>
      <c r="I88" s="4"/>
      <c r="J88" s="4"/>
      <c r="K88" s="4"/>
      <c r="L88" s="4"/>
      <c r="M88" s="4"/>
      <c r="N88" s="4"/>
      <c r="O88" s="4"/>
      <c r="P88" s="4"/>
      <c r="Q88" s="4"/>
      <c r="R88" s="4"/>
      <c r="S88" s="4"/>
      <c r="T88" s="4"/>
      <c r="U88" s="4"/>
      <c r="V88" s="4"/>
      <c r="W88" s="4"/>
      <c r="X88" s="4"/>
      <c r="Y88" s="4"/>
      <c r="Z88" s="4"/>
      <c r="AA88" s="4"/>
      <c r="AB88" s="4"/>
    </row>
    <row r="89" spans="1:28" ht="33.75" customHeight="1">
      <c r="A89" s="4"/>
      <c r="B89" s="5"/>
      <c r="C89" s="4"/>
      <c r="D89" s="4"/>
      <c r="E89" s="161"/>
      <c r="F89" s="4"/>
      <c r="G89" s="4"/>
      <c r="H89" s="4"/>
      <c r="I89" s="4"/>
      <c r="J89" s="4"/>
      <c r="K89" s="4"/>
      <c r="L89" s="4"/>
      <c r="M89" s="4"/>
      <c r="N89" s="4"/>
      <c r="O89" s="4"/>
      <c r="P89" s="4"/>
      <c r="Q89" s="4"/>
      <c r="R89" s="4"/>
      <c r="S89" s="4"/>
      <c r="T89" s="4"/>
      <c r="U89" s="4"/>
      <c r="V89" s="4"/>
      <c r="W89" s="4"/>
      <c r="X89" s="4"/>
      <c r="Y89" s="4"/>
      <c r="Z89" s="4"/>
      <c r="AA89" s="4"/>
      <c r="AB89" s="4"/>
    </row>
    <row r="90" spans="1:28" ht="33.75" customHeight="1">
      <c r="A90" s="4"/>
      <c r="B90" s="5"/>
      <c r="C90" s="4"/>
      <c r="D90" s="4"/>
      <c r="E90" s="161"/>
      <c r="F90" s="4"/>
      <c r="G90" s="4"/>
      <c r="H90" s="4"/>
      <c r="I90" s="4"/>
      <c r="J90" s="4"/>
      <c r="K90" s="4"/>
      <c r="L90" s="4"/>
      <c r="M90" s="4"/>
      <c r="N90" s="4"/>
      <c r="O90" s="4"/>
      <c r="P90" s="4"/>
      <c r="Q90" s="4"/>
      <c r="R90" s="4"/>
      <c r="S90" s="4"/>
      <c r="T90" s="4"/>
      <c r="U90" s="4"/>
      <c r="V90" s="4"/>
      <c r="W90" s="4"/>
      <c r="X90" s="4"/>
      <c r="Y90" s="4"/>
      <c r="Z90" s="4"/>
      <c r="AA90" s="4"/>
      <c r="AB90" s="4"/>
    </row>
    <row r="91" spans="1:28" ht="33.75" customHeight="1">
      <c r="A91" s="4"/>
      <c r="B91" s="5"/>
      <c r="C91" s="4"/>
      <c r="D91" s="4"/>
      <c r="E91" s="161"/>
      <c r="F91" s="4"/>
      <c r="G91" s="4"/>
      <c r="H91" s="4"/>
      <c r="I91" s="4"/>
      <c r="J91" s="4"/>
      <c r="K91" s="4"/>
      <c r="L91" s="4"/>
      <c r="M91" s="4"/>
      <c r="N91" s="4"/>
      <c r="O91" s="4"/>
      <c r="P91" s="4"/>
      <c r="Q91" s="4"/>
      <c r="R91" s="4"/>
      <c r="S91" s="4"/>
      <c r="T91" s="4"/>
      <c r="U91" s="4"/>
      <c r="V91" s="4"/>
      <c r="W91" s="4"/>
      <c r="X91" s="4"/>
      <c r="Y91" s="4"/>
      <c r="Z91" s="4"/>
      <c r="AA91" s="4"/>
      <c r="AB91" s="4"/>
    </row>
    <row r="92" spans="1:28" ht="33.75" customHeight="1">
      <c r="A92" s="4"/>
      <c r="B92" s="5"/>
      <c r="C92" s="4"/>
      <c r="D92" s="4"/>
      <c r="E92" s="161"/>
      <c r="F92" s="4"/>
      <c r="G92" s="4"/>
      <c r="H92" s="4"/>
      <c r="I92" s="4"/>
      <c r="J92" s="4"/>
      <c r="K92" s="4"/>
      <c r="L92" s="4"/>
      <c r="M92" s="4"/>
      <c r="N92" s="4"/>
      <c r="O92" s="4"/>
      <c r="P92" s="4"/>
      <c r="Q92" s="4"/>
      <c r="R92" s="4"/>
      <c r="S92" s="4"/>
      <c r="T92" s="4"/>
      <c r="U92" s="4"/>
      <c r="V92" s="4"/>
      <c r="W92" s="4"/>
      <c r="X92" s="4"/>
      <c r="Y92" s="4"/>
      <c r="Z92" s="4"/>
      <c r="AA92" s="4"/>
      <c r="AB92" s="4"/>
    </row>
    <row r="93" spans="1:28" ht="33.75" customHeight="1">
      <c r="A93" s="4"/>
      <c r="B93" s="5"/>
      <c r="C93" s="4"/>
      <c r="D93" s="4"/>
      <c r="E93" s="161"/>
      <c r="F93" s="4"/>
      <c r="G93" s="4"/>
      <c r="H93" s="4"/>
      <c r="I93" s="4"/>
      <c r="J93" s="4"/>
      <c r="K93" s="4"/>
      <c r="L93" s="4"/>
      <c r="M93" s="4"/>
      <c r="N93" s="4"/>
      <c r="O93" s="4"/>
      <c r="P93" s="4"/>
      <c r="Q93" s="4"/>
      <c r="R93" s="4"/>
      <c r="S93" s="4"/>
      <c r="T93" s="4"/>
      <c r="U93" s="4"/>
      <c r="V93" s="4"/>
      <c r="W93" s="4"/>
      <c r="X93" s="4"/>
      <c r="Y93" s="4"/>
      <c r="Z93" s="4"/>
      <c r="AA93" s="4"/>
      <c r="AB93" s="4"/>
    </row>
    <row r="94" spans="1:28" ht="33.75" customHeight="1">
      <c r="A94" s="4"/>
      <c r="B94" s="5"/>
      <c r="C94" s="4"/>
      <c r="D94" s="4"/>
      <c r="E94" s="161"/>
      <c r="F94" s="4"/>
      <c r="G94" s="4"/>
      <c r="H94" s="4"/>
      <c r="I94" s="4"/>
      <c r="J94" s="4"/>
      <c r="K94" s="4"/>
      <c r="L94" s="4"/>
      <c r="M94" s="4"/>
      <c r="N94" s="4"/>
      <c r="O94" s="4"/>
      <c r="P94" s="4"/>
      <c r="Q94" s="4"/>
      <c r="R94" s="4"/>
      <c r="S94" s="4"/>
      <c r="T94" s="4"/>
      <c r="U94" s="4"/>
      <c r="V94" s="4"/>
      <c r="W94" s="4"/>
      <c r="X94" s="4"/>
      <c r="Y94" s="4"/>
      <c r="Z94" s="4"/>
      <c r="AA94" s="4"/>
      <c r="AB94" s="4"/>
    </row>
    <row r="95" spans="1:28" ht="33.75" customHeight="1">
      <c r="A95" s="4"/>
      <c r="B95" s="5"/>
      <c r="C95" s="4"/>
      <c r="D95" s="4"/>
      <c r="E95" s="161"/>
      <c r="F95" s="4"/>
      <c r="G95" s="4"/>
      <c r="H95" s="4"/>
      <c r="I95" s="4"/>
      <c r="J95" s="4"/>
      <c r="K95" s="4"/>
      <c r="L95" s="4"/>
      <c r="M95" s="4"/>
      <c r="N95" s="4"/>
      <c r="O95" s="4"/>
      <c r="P95" s="4"/>
      <c r="Q95" s="4"/>
      <c r="R95" s="4"/>
      <c r="S95" s="4"/>
      <c r="T95" s="4"/>
      <c r="U95" s="4"/>
      <c r="V95" s="4"/>
      <c r="W95" s="4"/>
      <c r="X95" s="4"/>
      <c r="Y95" s="4"/>
      <c r="Z95" s="4"/>
      <c r="AA95" s="4"/>
      <c r="AB95" s="4"/>
    </row>
    <row r="96" spans="1:28" ht="33.75" customHeight="1">
      <c r="A96" s="4"/>
      <c r="B96" s="5"/>
      <c r="C96" s="4"/>
      <c r="D96" s="4"/>
      <c r="E96" s="161"/>
      <c r="F96" s="4"/>
      <c r="G96" s="4"/>
      <c r="H96" s="4"/>
      <c r="I96" s="4"/>
      <c r="J96" s="4"/>
      <c r="K96" s="4"/>
      <c r="L96" s="4"/>
      <c r="M96" s="4"/>
      <c r="N96" s="4"/>
      <c r="O96" s="4"/>
      <c r="P96" s="4"/>
      <c r="Q96" s="4"/>
      <c r="R96" s="4"/>
      <c r="S96" s="4"/>
      <c r="T96" s="4"/>
      <c r="U96" s="4"/>
      <c r="V96" s="4"/>
      <c r="W96" s="4"/>
      <c r="X96" s="4"/>
      <c r="Y96" s="4"/>
      <c r="Z96" s="4"/>
      <c r="AA96" s="4"/>
      <c r="AB96" s="4"/>
    </row>
    <row r="97" spans="1:28" ht="33.75" customHeight="1">
      <c r="A97" s="4"/>
      <c r="B97" s="5"/>
      <c r="C97" s="4"/>
      <c r="D97" s="4"/>
      <c r="E97" s="161"/>
      <c r="F97" s="4"/>
      <c r="G97" s="4"/>
      <c r="H97" s="4"/>
      <c r="I97" s="4"/>
      <c r="J97" s="4"/>
      <c r="K97" s="4"/>
      <c r="L97" s="4"/>
      <c r="M97" s="4"/>
      <c r="N97" s="4"/>
      <c r="O97" s="4"/>
      <c r="P97" s="4"/>
      <c r="Q97" s="4"/>
      <c r="R97" s="4"/>
      <c r="S97" s="4"/>
      <c r="T97" s="4"/>
      <c r="U97" s="4"/>
      <c r="V97" s="4"/>
      <c r="W97" s="4"/>
      <c r="X97" s="4"/>
      <c r="Y97" s="4"/>
      <c r="Z97" s="4"/>
      <c r="AA97" s="4"/>
      <c r="AB97" s="4"/>
    </row>
    <row r="98" spans="1:28" ht="33.75" customHeight="1">
      <c r="A98" s="4"/>
      <c r="B98" s="5"/>
      <c r="C98" s="4"/>
      <c r="D98" s="4"/>
      <c r="E98" s="161"/>
      <c r="F98" s="4"/>
      <c r="G98" s="4"/>
      <c r="H98" s="4"/>
      <c r="I98" s="4"/>
      <c r="J98" s="4"/>
      <c r="K98" s="4"/>
      <c r="L98" s="4"/>
      <c r="M98" s="4"/>
      <c r="N98" s="4"/>
      <c r="O98" s="4"/>
      <c r="P98" s="4"/>
      <c r="Q98" s="4"/>
      <c r="R98" s="4"/>
      <c r="S98" s="4"/>
      <c r="T98" s="4"/>
      <c r="U98" s="4"/>
      <c r="V98" s="4"/>
      <c r="W98" s="4"/>
      <c r="X98" s="4"/>
      <c r="Y98" s="4"/>
      <c r="Z98" s="4"/>
      <c r="AA98" s="4"/>
      <c r="AB98" s="4"/>
    </row>
    <row r="99" spans="1:28" ht="33.75" customHeight="1">
      <c r="A99" s="4"/>
      <c r="B99" s="5"/>
      <c r="C99" s="4"/>
      <c r="D99" s="4"/>
      <c r="E99" s="161"/>
      <c r="F99" s="4"/>
      <c r="G99" s="4"/>
      <c r="H99" s="4"/>
      <c r="I99" s="4"/>
      <c r="J99" s="4"/>
      <c r="K99" s="4"/>
      <c r="L99" s="4"/>
      <c r="M99" s="4"/>
      <c r="N99" s="4"/>
      <c r="O99" s="4"/>
      <c r="P99" s="4"/>
      <c r="Q99" s="4"/>
      <c r="R99" s="4"/>
      <c r="S99" s="4"/>
      <c r="T99" s="4"/>
      <c r="U99" s="4"/>
      <c r="V99" s="4"/>
      <c r="W99" s="4"/>
      <c r="X99" s="4"/>
      <c r="Y99" s="4"/>
      <c r="Z99" s="4"/>
      <c r="AA99" s="4"/>
      <c r="AB99" s="4"/>
    </row>
    <row r="100" spans="1:28" ht="33.75" customHeight="1">
      <c r="A100" s="4"/>
      <c r="B100" s="5"/>
      <c r="C100" s="4"/>
      <c r="D100" s="4"/>
      <c r="E100" s="161"/>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33.75" customHeight="1">
      <c r="A101" s="4"/>
      <c r="B101" s="5"/>
      <c r="C101" s="4"/>
      <c r="D101" s="4"/>
      <c r="E101" s="161"/>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33.75" customHeight="1">
      <c r="A102" s="4"/>
      <c r="B102" s="5"/>
      <c r="C102" s="4"/>
      <c r="D102" s="4"/>
      <c r="E102" s="161"/>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33.75" customHeight="1">
      <c r="A103" s="4"/>
      <c r="B103" s="5"/>
      <c r="C103" s="4"/>
      <c r="D103" s="4"/>
      <c r="E103" s="161"/>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33.75" customHeight="1">
      <c r="A104" s="4"/>
      <c r="B104" s="5"/>
      <c r="C104" s="4"/>
      <c r="D104" s="4"/>
      <c r="E104" s="161"/>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33.75" customHeight="1">
      <c r="A105" s="4"/>
      <c r="B105" s="5"/>
      <c r="C105" s="4"/>
      <c r="D105" s="4"/>
      <c r="E105" s="161"/>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33.75" customHeight="1">
      <c r="A106" s="4"/>
      <c r="B106" s="5"/>
      <c r="C106" s="4"/>
      <c r="D106" s="4"/>
      <c r="E106" s="161"/>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33.75" customHeight="1">
      <c r="A107" s="4"/>
      <c r="B107" s="5"/>
      <c r="C107" s="4"/>
      <c r="D107" s="4"/>
      <c r="E107" s="161"/>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33.75" customHeight="1">
      <c r="A108" s="4"/>
      <c r="B108" s="5"/>
      <c r="C108" s="4"/>
      <c r="D108" s="4"/>
      <c r="E108" s="161"/>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33.75" customHeight="1">
      <c r="A109" s="4"/>
      <c r="B109" s="5"/>
      <c r="C109" s="4"/>
      <c r="D109" s="4"/>
      <c r="E109" s="161"/>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33.75" customHeight="1">
      <c r="A110" s="4"/>
      <c r="B110" s="5"/>
      <c r="C110" s="4"/>
      <c r="D110" s="4"/>
      <c r="E110" s="161"/>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33.75" customHeight="1">
      <c r="A111" s="4"/>
      <c r="B111" s="5"/>
      <c r="C111" s="4"/>
      <c r="D111" s="4"/>
      <c r="E111" s="161"/>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33.75" customHeight="1">
      <c r="A112" s="4"/>
      <c r="B112" s="5"/>
      <c r="C112" s="4"/>
      <c r="D112" s="4"/>
      <c r="E112" s="161"/>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33.75" customHeight="1">
      <c r="A113" s="4"/>
      <c r="B113" s="5"/>
      <c r="C113" s="4"/>
      <c r="D113" s="4"/>
      <c r="E113" s="161"/>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33.75" customHeight="1">
      <c r="A114" s="4"/>
      <c r="B114" s="5"/>
      <c r="C114" s="4"/>
      <c r="D114" s="4"/>
      <c r="E114" s="161"/>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33.75" customHeight="1">
      <c r="A115" s="4"/>
      <c r="B115" s="5"/>
      <c r="C115" s="4"/>
      <c r="D115" s="4"/>
      <c r="E115" s="161"/>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33.75" customHeight="1">
      <c r="A116" s="4"/>
      <c r="B116" s="5"/>
      <c r="C116" s="4"/>
      <c r="D116" s="4"/>
      <c r="E116" s="161"/>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33.75" customHeight="1">
      <c r="A117" s="4"/>
      <c r="B117" s="5"/>
      <c r="C117" s="4"/>
      <c r="D117" s="4"/>
      <c r="E117" s="161"/>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33.75" customHeight="1">
      <c r="A118" s="4"/>
      <c r="B118" s="5"/>
      <c r="C118" s="4"/>
      <c r="D118" s="4"/>
      <c r="E118" s="161"/>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33.75" customHeight="1">
      <c r="A119" s="4"/>
      <c r="B119" s="5"/>
      <c r="C119" s="4"/>
      <c r="D119" s="4"/>
      <c r="E119" s="161"/>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33.75" customHeight="1">
      <c r="A120" s="4"/>
      <c r="B120" s="5"/>
      <c r="C120" s="4"/>
      <c r="D120" s="4"/>
      <c r="E120" s="161"/>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33.75" customHeight="1">
      <c r="A121" s="4"/>
      <c r="B121" s="5"/>
      <c r="C121" s="4"/>
      <c r="D121" s="4"/>
      <c r="E121" s="161"/>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33.75" customHeight="1">
      <c r="A122" s="4"/>
      <c r="B122" s="5"/>
      <c r="C122" s="4"/>
      <c r="D122" s="4"/>
      <c r="E122" s="161"/>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33.75" customHeight="1">
      <c r="A123" s="4"/>
      <c r="B123" s="5"/>
      <c r="C123" s="4"/>
      <c r="D123" s="4"/>
      <c r="E123" s="161"/>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33.75" customHeight="1">
      <c r="A124" s="4"/>
      <c r="B124" s="5"/>
      <c r="C124" s="4"/>
      <c r="D124" s="4"/>
      <c r="E124" s="161"/>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33.75" customHeight="1">
      <c r="A125" s="4"/>
      <c r="B125" s="5"/>
      <c r="C125" s="4"/>
      <c r="D125" s="4"/>
      <c r="E125" s="161"/>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33.75" customHeight="1">
      <c r="A126" s="4"/>
      <c r="B126" s="5"/>
      <c r="C126" s="4"/>
      <c r="D126" s="4"/>
      <c r="E126" s="161"/>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33.75" customHeight="1">
      <c r="A127" s="4"/>
      <c r="B127" s="5"/>
      <c r="C127" s="4"/>
      <c r="D127" s="4"/>
      <c r="E127" s="161"/>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33.75" customHeight="1">
      <c r="A128" s="4"/>
      <c r="B128" s="5"/>
      <c r="C128" s="4"/>
      <c r="D128" s="4"/>
      <c r="E128" s="161"/>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33.75" customHeight="1">
      <c r="A129" s="4"/>
      <c r="B129" s="5"/>
      <c r="C129" s="4"/>
      <c r="D129" s="4"/>
      <c r="E129" s="161"/>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33.75" customHeight="1">
      <c r="A130" s="4"/>
      <c r="B130" s="5"/>
      <c r="C130" s="4"/>
      <c r="D130" s="4"/>
      <c r="E130" s="161"/>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33.75" customHeight="1">
      <c r="A131" s="4"/>
      <c r="B131" s="5"/>
      <c r="C131" s="4"/>
      <c r="D131" s="4"/>
      <c r="E131" s="161"/>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33.75" customHeight="1">
      <c r="A132" s="4"/>
      <c r="B132" s="5"/>
      <c r="C132" s="4"/>
      <c r="D132" s="4"/>
      <c r="E132" s="161"/>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33.75" customHeight="1">
      <c r="A133" s="4"/>
      <c r="B133" s="5"/>
      <c r="C133" s="4"/>
      <c r="D133" s="4"/>
      <c r="E133" s="161"/>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33.75" customHeight="1">
      <c r="A134" s="4"/>
      <c r="B134" s="5"/>
      <c r="C134" s="4"/>
      <c r="D134" s="4"/>
      <c r="E134" s="161"/>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33.75" customHeight="1">
      <c r="A135" s="4"/>
      <c r="B135" s="5"/>
      <c r="C135" s="4"/>
      <c r="D135" s="4"/>
      <c r="E135" s="161"/>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33.75" customHeight="1">
      <c r="A136" s="4"/>
      <c r="B136" s="5"/>
      <c r="C136" s="4"/>
      <c r="D136" s="4"/>
      <c r="E136" s="161"/>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33.75" customHeight="1">
      <c r="A137" s="4"/>
      <c r="B137" s="5"/>
      <c r="C137" s="4"/>
      <c r="D137" s="4"/>
      <c r="E137" s="161"/>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33.75" customHeight="1">
      <c r="A138" s="4"/>
      <c r="B138" s="5"/>
      <c r="C138" s="4"/>
      <c r="D138" s="4"/>
      <c r="E138" s="161"/>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33.75" customHeight="1">
      <c r="A139" s="4"/>
      <c r="B139" s="5"/>
      <c r="C139" s="4"/>
      <c r="D139" s="4"/>
      <c r="E139" s="161"/>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33.75" customHeight="1">
      <c r="A140" s="4"/>
      <c r="B140" s="5"/>
      <c r="C140" s="4"/>
      <c r="D140" s="4"/>
      <c r="E140" s="161"/>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33.75" customHeight="1">
      <c r="A141" s="4"/>
      <c r="B141" s="5"/>
      <c r="C141" s="4"/>
      <c r="D141" s="4"/>
      <c r="E141" s="161"/>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33.75" customHeight="1">
      <c r="A142" s="4"/>
      <c r="B142" s="5"/>
      <c r="C142" s="4"/>
      <c r="D142" s="4"/>
      <c r="E142" s="161"/>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33.75" customHeight="1">
      <c r="A143" s="4"/>
      <c r="B143" s="5"/>
      <c r="C143" s="4"/>
      <c r="D143" s="4"/>
      <c r="E143" s="161"/>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33.75" customHeight="1">
      <c r="A144" s="4"/>
      <c r="B144" s="5"/>
      <c r="C144" s="4"/>
      <c r="D144" s="4"/>
      <c r="E144" s="161"/>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33.75" customHeight="1">
      <c r="A145" s="4"/>
      <c r="B145" s="5"/>
      <c r="C145" s="4"/>
      <c r="D145" s="4"/>
      <c r="E145" s="161"/>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33.75" customHeight="1">
      <c r="A146" s="4"/>
      <c r="B146" s="5"/>
      <c r="C146" s="4"/>
      <c r="D146" s="4"/>
      <c r="E146" s="161"/>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33.75" customHeight="1">
      <c r="A147" s="4"/>
      <c r="B147" s="5"/>
      <c r="C147" s="4"/>
      <c r="D147" s="4"/>
      <c r="E147" s="161"/>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33.75" customHeight="1">
      <c r="A148" s="4"/>
      <c r="B148" s="5"/>
      <c r="C148" s="4"/>
      <c r="D148" s="4"/>
      <c r="E148" s="161"/>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33.75" customHeight="1">
      <c r="A149" s="4"/>
      <c r="B149" s="5"/>
      <c r="C149" s="4"/>
      <c r="D149" s="4"/>
      <c r="E149" s="161"/>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33.75" customHeight="1">
      <c r="A150" s="4"/>
      <c r="B150" s="5"/>
      <c r="C150" s="4"/>
      <c r="D150" s="4"/>
      <c r="E150" s="161"/>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33.75" customHeight="1">
      <c r="A151" s="4"/>
      <c r="B151" s="5"/>
      <c r="C151" s="4"/>
      <c r="D151" s="4"/>
      <c r="E151" s="161"/>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33.75" customHeight="1">
      <c r="A152" s="4"/>
      <c r="B152" s="5"/>
      <c r="C152" s="4"/>
      <c r="D152" s="4"/>
      <c r="E152" s="161"/>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33.75" customHeight="1">
      <c r="A153" s="4"/>
      <c r="B153" s="5"/>
      <c r="C153" s="4"/>
      <c r="D153" s="4"/>
      <c r="E153" s="161"/>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33.75" customHeight="1">
      <c r="A154" s="4"/>
      <c r="B154" s="5"/>
      <c r="C154" s="4"/>
      <c r="D154" s="4"/>
      <c r="E154" s="161"/>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33.75" customHeight="1">
      <c r="A155" s="4"/>
      <c r="B155" s="5"/>
      <c r="C155" s="4"/>
      <c r="D155" s="4"/>
      <c r="E155" s="161"/>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33.75" customHeight="1">
      <c r="A156" s="4"/>
      <c r="B156" s="5"/>
      <c r="C156" s="4"/>
      <c r="D156" s="4"/>
      <c r="E156" s="161"/>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33.75" customHeight="1">
      <c r="A157" s="4"/>
      <c r="B157" s="5"/>
      <c r="C157" s="4"/>
      <c r="D157" s="4"/>
      <c r="E157" s="161"/>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33.75" customHeight="1">
      <c r="A158" s="4"/>
      <c r="B158" s="5"/>
      <c r="C158" s="4"/>
      <c r="D158" s="4"/>
      <c r="E158" s="161"/>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33.75" customHeight="1">
      <c r="A159" s="4"/>
      <c r="B159" s="5"/>
      <c r="C159" s="4"/>
      <c r="D159" s="4"/>
      <c r="E159" s="161"/>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33.75" customHeight="1">
      <c r="A160" s="4"/>
      <c r="B160" s="5"/>
      <c r="C160" s="4"/>
      <c r="D160" s="4"/>
      <c r="E160" s="161"/>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33.75" customHeight="1">
      <c r="A161" s="4"/>
      <c r="B161" s="5"/>
      <c r="C161" s="4"/>
      <c r="D161" s="4"/>
      <c r="E161" s="161"/>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33.75" customHeight="1">
      <c r="A162" s="4"/>
      <c r="B162" s="5"/>
      <c r="C162" s="4"/>
      <c r="D162" s="4"/>
      <c r="E162" s="161"/>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33.75" customHeight="1">
      <c r="A163" s="4"/>
      <c r="B163" s="5"/>
      <c r="C163" s="4"/>
      <c r="D163" s="4"/>
      <c r="E163" s="161"/>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33.75" customHeight="1">
      <c r="A164" s="4"/>
      <c r="B164" s="5"/>
      <c r="C164" s="4"/>
      <c r="D164" s="4"/>
      <c r="E164" s="161"/>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33.75" customHeight="1">
      <c r="A165" s="4"/>
      <c r="B165" s="5"/>
      <c r="C165" s="4"/>
      <c r="D165" s="4"/>
      <c r="E165" s="161"/>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33.75" customHeight="1">
      <c r="A166" s="4"/>
      <c r="B166" s="5"/>
      <c r="C166" s="4"/>
      <c r="D166" s="4"/>
      <c r="E166" s="161"/>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33.75" customHeight="1">
      <c r="A167" s="4"/>
      <c r="B167" s="5"/>
      <c r="C167" s="4"/>
      <c r="D167" s="4"/>
      <c r="E167" s="161"/>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33.75" customHeight="1">
      <c r="A168" s="4"/>
      <c r="B168" s="5"/>
      <c r="C168" s="4"/>
      <c r="D168" s="4"/>
      <c r="E168" s="161"/>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33.75" customHeight="1">
      <c r="A169" s="4"/>
      <c r="B169" s="5"/>
      <c r="C169" s="4"/>
      <c r="D169" s="4"/>
      <c r="E169" s="161"/>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33.75" customHeight="1">
      <c r="A170" s="4"/>
      <c r="B170" s="5"/>
      <c r="C170" s="4"/>
      <c r="D170" s="4"/>
      <c r="E170" s="161"/>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33.75" customHeight="1">
      <c r="A171" s="4"/>
      <c r="B171" s="5"/>
      <c r="C171" s="4"/>
      <c r="D171" s="4"/>
      <c r="E171" s="161"/>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33.75" customHeight="1">
      <c r="A172" s="4"/>
      <c r="B172" s="5"/>
      <c r="C172" s="4"/>
      <c r="D172" s="4"/>
      <c r="E172" s="161"/>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33.75" customHeight="1">
      <c r="A173" s="4"/>
      <c r="B173" s="5"/>
      <c r="C173" s="4"/>
      <c r="D173" s="4"/>
      <c r="E173" s="161"/>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33.75" customHeight="1">
      <c r="A174" s="4"/>
      <c r="B174" s="5"/>
      <c r="C174" s="4"/>
      <c r="D174" s="4"/>
      <c r="E174" s="161"/>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33.75" customHeight="1">
      <c r="A175" s="4"/>
      <c r="B175" s="5"/>
      <c r="C175" s="4"/>
      <c r="D175" s="4"/>
      <c r="E175" s="161"/>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33.75" customHeight="1">
      <c r="A176" s="4"/>
      <c r="B176" s="5"/>
      <c r="C176" s="4"/>
      <c r="D176" s="4"/>
      <c r="E176" s="161"/>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33.75" customHeight="1">
      <c r="A177" s="4"/>
      <c r="B177" s="5"/>
      <c r="C177" s="4"/>
      <c r="D177" s="4"/>
      <c r="E177" s="161"/>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33.75" customHeight="1">
      <c r="A178" s="4"/>
      <c r="B178" s="5"/>
      <c r="C178" s="4"/>
      <c r="D178" s="4"/>
      <c r="E178" s="161"/>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33.75" customHeight="1">
      <c r="A179" s="4"/>
      <c r="B179" s="5"/>
      <c r="C179" s="4"/>
      <c r="D179" s="4"/>
      <c r="E179" s="161"/>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33.75" customHeight="1">
      <c r="A180" s="4"/>
      <c r="B180" s="5"/>
      <c r="C180" s="4"/>
      <c r="D180" s="4"/>
      <c r="E180" s="161"/>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33.75" customHeight="1">
      <c r="A181" s="4"/>
      <c r="B181" s="5"/>
      <c r="C181" s="4"/>
      <c r="D181" s="4"/>
      <c r="E181" s="161"/>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33.75" customHeight="1">
      <c r="A182" s="4"/>
      <c r="B182" s="5"/>
      <c r="C182" s="4"/>
      <c r="D182" s="4"/>
      <c r="E182" s="161"/>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33.75" customHeight="1">
      <c r="A183" s="4"/>
      <c r="B183" s="5"/>
      <c r="C183" s="4"/>
      <c r="D183" s="4"/>
      <c r="E183" s="161"/>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33.75" customHeight="1">
      <c r="A184" s="4"/>
      <c r="B184" s="5"/>
      <c r="C184" s="4"/>
      <c r="D184" s="4"/>
      <c r="E184" s="161"/>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33.75" customHeight="1">
      <c r="A185" s="4"/>
      <c r="B185" s="5"/>
      <c r="C185" s="4"/>
      <c r="D185" s="4"/>
      <c r="E185" s="161"/>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33.75" customHeight="1">
      <c r="A186" s="4"/>
      <c r="B186" s="5"/>
      <c r="C186" s="4"/>
      <c r="D186" s="4"/>
      <c r="E186" s="161"/>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33.75" customHeight="1">
      <c r="A187" s="4"/>
      <c r="B187" s="5"/>
      <c r="C187" s="4"/>
      <c r="D187" s="4"/>
      <c r="E187" s="161"/>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33.75" customHeight="1">
      <c r="A188" s="4"/>
      <c r="B188" s="5"/>
      <c r="C188" s="4"/>
      <c r="D188" s="4"/>
      <c r="E188" s="161"/>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33.75" customHeight="1">
      <c r="A189" s="4"/>
      <c r="B189" s="5"/>
      <c r="C189" s="4"/>
      <c r="D189" s="4"/>
      <c r="E189" s="161"/>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33.75" customHeight="1">
      <c r="A190" s="4"/>
      <c r="B190" s="5"/>
      <c r="C190" s="4"/>
      <c r="D190" s="4"/>
      <c r="E190" s="161"/>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33.75" customHeight="1">
      <c r="A191" s="4"/>
      <c r="B191" s="5"/>
      <c r="C191" s="4"/>
      <c r="D191" s="4"/>
      <c r="E191" s="161"/>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33.75" customHeight="1">
      <c r="A192" s="4"/>
      <c r="B192" s="5"/>
      <c r="C192" s="4"/>
      <c r="D192" s="4"/>
      <c r="E192" s="161"/>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33.75" customHeight="1">
      <c r="A193" s="4"/>
      <c r="B193" s="5"/>
      <c r="C193" s="4"/>
      <c r="D193" s="4"/>
      <c r="E193" s="161"/>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33.75" customHeight="1">
      <c r="A194" s="4"/>
      <c r="B194" s="5"/>
      <c r="C194" s="4"/>
      <c r="D194" s="4"/>
      <c r="E194" s="161"/>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33.75" customHeight="1">
      <c r="A195" s="4"/>
      <c r="B195" s="5"/>
      <c r="C195" s="4"/>
      <c r="D195" s="4"/>
      <c r="E195" s="161"/>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33.75" customHeight="1">
      <c r="A196" s="4"/>
      <c r="B196" s="5"/>
      <c r="C196" s="4"/>
      <c r="D196" s="4"/>
      <c r="E196" s="161"/>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33.75" customHeight="1">
      <c r="A197" s="4"/>
      <c r="B197" s="5"/>
      <c r="C197" s="4"/>
      <c r="D197" s="4"/>
      <c r="E197" s="161"/>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33.75" customHeight="1">
      <c r="A198" s="4"/>
      <c r="B198" s="5"/>
      <c r="C198" s="4"/>
      <c r="D198" s="4"/>
      <c r="E198" s="161"/>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33.75" customHeight="1">
      <c r="A199" s="4"/>
      <c r="B199" s="5"/>
      <c r="C199" s="4"/>
      <c r="D199" s="4"/>
      <c r="E199" s="161"/>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33.75" customHeight="1">
      <c r="A200" s="4"/>
      <c r="B200" s="5"/>
      <c r="C200" s="4"/>
      <c r="D200" s="4"/>
      <c r="E200" s="161"/>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33.75" customHeight="1">
      <c r="A201" s="4"/>
      <c r="B201" s="5"/>
      <c r="C201" s="4"/>
      <c r="D201" s="4"/>
      <c r="E201" s="161"/>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33.75" customHeight="1">
      <c r="A202" s="4"/>
      <c r="B202" s="5"/>
      <c r="C202" s="4"/>
      <c r="D202" s="4"/>
      <c r="E202" s="161"/>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33.75" customHeight="1">
      <c r="A203" s="4"/>
      <c r="B203" s="5"/>
      <c r="C203" s="4"/>
      <c r="D203" s="4"/>
      <c r="E203" s="161"/>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33.75" customHeight="1">
      <c r="A204" s="4"/>
      <c r="B204" s="5"/>
      <c r="C204" s="4"/>
      <c r="D204" s="4"/>
      <c r="E204" s="161"/>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33.75" customHeight="1">
      <c r="A205" s="4"/>
      <c r="B205" s="5"/>
      <c r="C205" s="4"/>
      <c r="D205" s="4"/>
      <c r="E205" s="161"/>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33.75" customHeight="1">
      <c r="A206" s="4"/>
      <c r="B206" s="5"/>
      <c r="C206" s="4"/>
      <c r="D206" s="4"/>
      <c r="E206" s="161"/>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33.75" customHeight="1">
      <c r="A207" s="4"/>
      <c r="B207" s="5"/>
      <c r="C207" s="4"/>
      <c r="D207" s="4"/>
      <c r="E207" s="161"/>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33.75" customHeight="1">
      <c r="A208" s="4"/>
      <c r="B208" s="5"/>
      <c r="C208" s="4"/>
      <c r="D208" s="4"/>
      <c r="E208" s="161"/>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33.75" customHeight="1">
      <c r="A209" s="4"/>
      <c r="B209" s="5"/>
      <c r="C209" s="4"/>
      <c r="D209" s="4"/>
      <c r="E209" s="161"/>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33.75" customHeight="1">
      <c r="A210" s="4"/>
      <c r="B210" s="5"/>
      <c r="C210" s="4"/>
      <c r="D210" s="4"/>
      <c r="E210" s="161"/>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33.75" customHeight="1">
      <c r="A211" s="4"/>
      <c r="B211" s="5"/>
      <c r="C211" s="4"/>
      <c r="D211" s="4"/>
      <c r="E211" s="161"/>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33.75" customHeight="1">
      <c r="A212" s="4"/>
      <c r="B212" s="5"/>
      <c r="C212" s="4"/>
      <c r="D212" s="4"/>
      <c r="E212" s="161"/>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33.75" customHeight="1">
      <c r="A213" s="4"/>
      <c r="B213" s="5"/>
      <c r="C213" s="4"/>
      <c r="D213" s="4"/>
      <c r="E213" s="161"/>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33.75" customHeight="1">
      <c r="A214" s="4"/>
      <c r="B214" s="5"/>
      <c r="C214" s="4"/>
      <c r="D214" s="4"/>
      <c r="E214" s="161"/>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33.75" customHeight="1">
      <c r="A215" s="4"/>
      <c r="B215" s="5"/>
      <c r="C215" s="4"/>
      <c r="D215" s="4"/>
      <c r="E215" s="161"/>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33.75" customHeight="1">
      <c r="A216" s="4"/>
      <c r="B216" s="5"/>
      <c r="C216" s="4"/>
      <c r="D216" s="4"/>
      <c r="E216" s="161"/>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33.75" customHeight="1">
      <c r="A217" s="4"/>
      <c r="B217" s="5"/>
      <c r="C217" s="4"/>
      <c r="D217" s="4"/>
      <c r="E217" s="161"/>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33.75" customHeight="1">
      <c r="A218" s="4"/>
      <c r="B218" s="5"/>
      <c r="C218" s="4"/>
      <c r="D218" s="4"/>
      <c r="E218" s="161"/>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33.75" customHeight="1">
      <c r="A219" s="4"/>
      <c r="B219" s="5"/>
      <c r="C219" s="4"/>
      <c r="D219" s="4"/>
      <c r="E219" s="161"/>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33.75" customHeight="1">
      <c r="A220" s="4"/>
      <c r="B220" s="5"/>
      <c r="C220" s="4"/>
      <c r="D220" s="4"/>
      <c r="E220" s="161"/>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33.75" customHeight="1">
      <c r="A221" s="4"/>
      <c r="B221" s="5"/>
      <c r="C221" s="4"/>
      <c r="D221" s="4"/>
      <c r="E221" s="161"/>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5.75" customHeight="1">
      <c r="B222" s="22"/>
    </row>
    <row r="223" spans="1:28" ht="15.75" customHeight="1">
      <c r="B223" s="22"/>
    </row>
    <row r="224" spans="1:28" ht="15.75" customHeight="1">
      <c r="B224" s="22"/>
    </row>
    <row r="225" spans="2:2" ht="15.75" customHeight="1">
      <c r="B225" s="22"/>
    </row>
    <row r="226" spans="2:2" ht="15.75" customHeight="1">
      <c r="B226" s="22"/>
    </row>
    <row r="227" spans="2:2" ht="15.75" customHeight="1">
      <c r="B227" s="22"/>
    </row>
    <row r="228" spans="2:2" ht="15.75" customHeight="1">
      <c r="B228" s="22"/>
    </row>
    <row r="229" spans="2:2" ht="15.75" customHeight="1">
      <c r="B229" s="22"/>
    </row>
    <row r="230" spans="2:2" ht="15.75" customHeight="1">
      <c r="B230" s="22"/>
    </row>
    <row r="231" spans="2:2" ht="15.75" customHeight="1">
      <c r="B231" s="22"/>
    </row>
    <row r="232" spans="2:2" ht="15.75" customHeight="1">
      <c r="B232" s="22"/>
    </row>
    <row r="233" spans="2:2" ht="15.75" customHeight="1">
      <c r="B233" s="22"/>
    </row>
    <row r="234" spans="2:2" ht="15.75" customHeight="1">
      <c r="B234" s="22"/>
    </row>
    <row r="235" spans="2:2" ht="15.75" customHeight="1">
      <c r="B235" s="22"/>
    </row>
    <row r="236" spans="2:2" ht="15.75" customHeight="1">
      <c r="B236" s="22"/>
    </row>
    <row r="237" spans="2:2" ht="15.75" customHeight="1">
      <c r="B237" s="22"/>
    </row>
    <row r="238" spans="2:2" ht="15.75" customHeight="1">
      <c r="B238" s="22"/>
    </row>
    <row r="239" spans="2:2" ht="15.75" customHeight="1">
      <c r="B239" s="22"/>
    </row>
    <row r="240" spans="2:2" ht="15.75" customHeight="1">
      <c r="B240" s="22"/>
    </row>
    <row r="241" spans="2:2" ht="15.75" customHeight="1">
      <c r="B241" s="22"/>
    </row>
    <row r="242" spans="2:2" ht="15.75" customHeight="1">
      <c r="B242" s="22"/>
    </row>
    <row r="243" spans="2:2" ht="15.75" customHeight="1">
      <c r="B243" s="22"/>
    </row>
    <row r="244" spans="2:2" ht="15.75" customHeight="1">
      <c r="B244" s="22"/>
    </row>
    <row r="245" spans="2:2" ht="15.75" customHeight="1">
      <c r="B245" s="22"/>
    </row>
    <row r="246" spans="2:2" ht="15.75" customHeight="1">
      <c r="B246" s="22"/>
    </row>
    <row r="247" spans="2:2" ht="15.75" customHeight="1">
      <c r="B247" s="22"/>
    </row>
    <row r="248" spans="2:2" ht="15.75" customHeight="1">
      <c r="B248" s="22"/>
    </row>
    <row r="249" spans="2:2" ht="15.75" customHeight="1">
      <c r="B249" s="22"/>
    </row>
    <row r="250" spans="2:2" ht="15.75" customHeight="1">
      <c r="B250" s="22"/>
    </row>
    <row r="251" spans="2:2" ht="15.75" customHeight="1">
      <c r="B251" s="22"/>
    </row>
    <row r="252" spans="2:2" ht="15.75" customHeight="1">
      <c r="B252" s="22"/>
    </row>
    <row r="253" spans="2:2" ht="15.75" customHeight="1">
      <c r="B253" s="22"/>
    </row>
    <row r="254" spans="2:2" ht="15.75" customHeight="1">
      <c r="B254" s="22"/>
    </row>
    <row r="255" spans="2:2" ht="15.75" customHeight="1">
      <c r="B255" s="22"/>
    </row>
    <row r="256" spans="2:2" ht="15.75" customHeight="1">
      <c r="B256" s="22"/>
    </row>
    <row r="257" spans="2:2" ht="15.75" customHeight="1">
      <c r="B257" s="22"/>
    </row>
    <row r="258" spans="2:2" ht="15.75" customHeight="1">
      <c r="B258" s="22"/>
    </row>
    <row r="259" spans="2:2" ht="15.75" customHeight="1">
      <c r="B259" s="22"/>
    </row>
    <row r="260" spans="2:2" ht="15.75" customHeight="1">
      <c r="B260" s="22"/>
    </row>
    <row r="261" spans="2:2" ht="15.75" customHeight="1">
      <c r="B261" s="22"/>
    </row>
    <row r="262" spans="2:2" ht="15.75" customHeight="1">
      <c r="B262" s="22"/>
    </row>
    <row r="263" spans="2:2" ht="15.75" customHeight="1">
      <c r="B263" s="22"/>
    </row>
    <row r="264" spans="2:2" ht="15.75" customHeight="1">
      <c r="B264" s="22"/>
    </row>
    <row r="265" spans="2:2" ht="15.75" customHeight="1">
      <c r="B265" s="22"/>
    </row>
    <row r="266" spans="2:2" ht="15.75" customHeight="1">
      <c r="B266" s="22"/>
    </row>
    <row r="267" spans="2:2" ht="15.75" customHeight="1">
      <c r="B267" s="22"/>
    </row>
    <row r="268" spans="2:2" ht="15.75" customHeight="1">
      <c r="B268" s="22"/>
    </row>
    <row r="269" spans="2:2" ht="15.75" customHeight="1">
      <c r="B269" s="22"/>
    </row>
    <row r="270" spans="2:2" ht="15.75" customHeight="1">
      <c r="B270" s="22"/>
    </row>
    <row r="271" spans="2:2" ht="15.75" customHeight="1">
      <c r="B271" s="22"/>
    </row>
    <row r="272" spans="2:2" ht="15.75" customHeight="1">
      <c r="B272" s="22"/>
    </row>
    <row r="273" spans="2:2" ht="15.75" customHeight="1">
      <c r="B273" s="22"/>
    </row>
    <row r="274" spans="2:2" ht="15.75" customHeight="1">
      <c r="B274" s="22"/>
    </row>
    <row r="275" spans="2:2" ht="15.75" customHeight="1">
      <c r="B275" s="22"/>
    </row>
    <row r="276" spans="2:2" ht="15.75" customHeight="1">
      <c r="B276" s="22"/>
    </row>
    <row r="277" spans="2:2" ht="15.75" customHeight="1">
      <c r="B277" s="22"/>
    </row>
    <row r="278" spans="2:2" ht="15.75" customHeight="1">
      <c r="B278" s="22"/>
    </row>
    <row r="279" spans="2:2" ht="15.75" customHeight="1">
      <c r="B279" s="22"/>
    </row>
    <row r="280" spans="2:2" ht="15.75" customHeight="1">
      <c r="B280" s="22"/>
    </row>
    <row r="281" spans="2:2" ht="15.75" customHeight="1">
      <c r="B281" s="22"/>
    </row>
    <row r="282" spans="2:2" ht="15.75" customHeight="1">
      <c r="B282" s="22"/>
    </row>
    <row r="283" spans="2:2" ht="15.75" customHeight="1">
      <c r="B283" s="22"/>
    </row>
    <row r="284" spans="2:2" ht="15.75" customHeight="1">
      <c r="B284" s="22"/>
    </row>
    <row r="285" spans="2:2" ht="15.75" customHeight="1">
      <c r="B285" s="22"/>
    </row>
    <row r="286" spans="2:2" ht="15.75" customHeight="1">
      <c r="B286" s="22"/>
    </row>
    <row r="287" spans="2:2" ht="15.75" customHeight="1">
      <c r="B287" s="22"/>
    </row>
    <row r="288" spans="2:2" ht="15.75" customHeight="1">
      <c r="B288" s="22"/>
    </row>
    <row r="289" spans="2:2" ht="15.75" customHeight="1">
      <c r="B289" s="22"/>
    </row>
    <row r="290" spans="2:2" ht="15.75" customHeight="1">
      <c r="B290" s="22"/>
    </row>
    <row r="291" spans="2:2" ht="15.75" customHeight="1">
      <c r="B291" s="22"/>
    </row>
    <row r="292" spans="2:2" ht="15.75" customHeight="1">
      <c r="B292" s="22"/>
    </row>
    <row r="293" spans="2:2" ht="15.75" customHeight="1">
      <c r="B293" s="22"/>
    </row>
    <row r="294" spans="2:2" ht="15.75" customHeight="1">
      <c r="B294" s="22"/>
    </row>
    <row r="295" spans="2:2" ht="15.75" customHeight="1">
      <c r="B295" s="22"/>
    </row>
    <row r="296" spans="2:2" ht="15.75" customHeight="1">
      <c r="B296" s="22"/>
    </row>
    <row r="297" spans="2:2" ht="15.75" customHeight="1">
      <c r="B297" s="22"/>
    </row>
    <row r="298" spans="2:2" ht="15.75" customHeight="1">
      <c r="B298" s="22"/>
    </row>
    <row r="299" spans="2:2" ht="15.75" customHeight="1">
      <c r="B299" s="22"/>
    </row>
    <row r="300" spans="2:2" ht="15.75" customHeight="1">
      <c r="B300" s="22"/>
    </row>
    <row r="301" spans="2:2" ht="15.75" customHeight="1">
      <c r="B301" s="22"/>
    </row>
    <row r="302" spans="2:2" ht="15.75" customHeight="1">
      <c r="B302" s="22"/>
    </row>
    <row r="303" spans="2:2" ht="15.75" customHeight="1">
      <c r="B303" s="22"/>
    </row>
    <row r="304" spans="2:2" ht="15.75" customHeight="1">
      <c r="B304" s="22"/>
    </row>
    <row r="305" spans="2:2" ht="15.75" customHeight="1">
      <c r="B305" s="22"/>
    </row>
    <row r="306" spans="2:2" ht="15.75" customHeight="1">
      <c r="B306" s="22"/>
    </row>
    <row r="307" spans="2:2" ht="15.75" customHeight="1">
      <c r="B307" s="22"/>
    </row>
    <row r="308" spans="2:2" ht="15.75" customHeight="1">
      <c r="B308" s="22"/>
    </row>
    <row r="309" spans="2:2" ht="15.75" customHeight="1">
      <c r="B309" s="22"/>
    </row>
    <row r="310" spans="2:2" ht="15.75" customHeight="1">
      <c r="B310" s="22"/>
    </row>
    <row r="311" spans="2:2" ht="15.75" customHeight="1">
      <c r="B311" s="22"/>
    </row>
    <row r="312" spans="2:2" ht="15.75" customHeight="1">
      <c r="B312" s="22"/>
    </row>
    <row r="313" spans="2:2" ht="15.75" customHeight="1">
      <c r="B313" s="22"/>
    </row>
    <row r="314" spans="2:2" ht="15.75" customHeight="1">
      <c r="B314" s="22"/>
    </row>
    <row r="315" spans="2:2" ht="15.75" customHeight="1">
      <c r="B315" s="22"/>
    </row>
    <row r="316" spans="2:2" ht="15.75" customHeight="1">
      <c r="B316" s="22"/>
    </row>
    <row r="317" spans="2:2" ht="15.75" customHeight="1">
      <c r="B317" s="22"/>
    </row>
    <row r="318" spans="2:2" ht="15.75" customHeight="1">
      <c r="B318" s="22"/>
    </row>
    <row r="319" spans="2:2" ht="15.75" customHeight="1">
      <c r="B319" s="22"/>
    </row>
    <row r="320" spans="2:2" ht="15.75" customHeight="1">
      <c r="B320" s="22"/>
    </row>
    <row r="321" spans="2:2" ht="15.75" customHeight="1">
      <c r="B321" s="22"/>
    </row>
    <row r="322" spans="2:2" ht="15.75" customHeight="1">
      <c r="B322" s="22"/>
    </row>
    <row r="323" spans="2:2" ht="15.75" customHeight="1">
      <c r="B323" s="22"/>
    </row>
    <row r="324" spans="2:2" ht="15.75" customHeight="1">
      <c r="B324" s="22"/>
    </row>
    <row r="325" spans="2:2" ht="15.75" customHeight="1">
      <c r="B325" s="22"/>
    </row>
    <row r="326" spans="2:2" ht="15.75" customHeight="1">
      <c r="B326" s="22"/>
    </row>
    <row r="327" spans="2:2" ht="15.75" customHeight="1">
      <c r="B327" s="22"/>
    </row>
    <row r="328" spans="2:2" ht="15.75" customHeight="1">
      <c r="B328" s="22"/>
    </row>
    <row r="329" spans="2:2" ht="15.75" customHeight="1">
      <c r="B329" s="22"/>
    </row>
    <row r="330" spans="2:2" ht="15.75" customHeight="1">
      <c r="B330" s="22"/>
    </row>
    <row r="331" spans="2:2" ht="15.75" customHeight="1">
      <c r="B331" s="22"/>
    </row>
    <row r="332" spans="2:2" ht="15.75" customHeight="1">
      <c r="B332" s="22"/>
    </row>
    <row r="333" spans="2:2" ht="15.75" customHeight="1">
      <c r="B333" s="22"/>
    </row>
    <row r="334" spans="2:2" ht="15.75" customHeight="1">
      <c r="B334" s="22"/>
    </row>
    <row r="335" spans="2:2" ht="15.75" customHeight="1">
      <c r="B335" s="22"/>
    </row>
    <row r="336" spans="2:2" ht="15.75" customHeight="1">
      <c r="B336" s="22"/>
    </row>
    <row r="337" spans="2:2" ht="15.75" customHeight="1">
      <c r="B337" s="22"/>
    </row>
    <row r="338" spans="2:2" ht="15.75" customHeight="1">
      <c r="B338" s="22"/>
    </row>
    <row r="339" spans="2:2" ht="15.75" customHeight="1">
      <c r="B339" s="22"/>
    </row>
    <row r="340" spans="2:2" ht="15.75" customHeight="1">
      <c r="B340" s="22"/>
    </row>
    <row r="341" spans="2:2" ht="15.75" customHeight="1">
      <c r="B341" s="22"/>
    </row>
    <row r="342" spans="2:2" ht="15.75" customHeight="1">
      <c r="B342" s="22"/>
    </row>
    <row r="343" spans="2:2" ht="15.75" customHeight="1">
      <c r="B343" s="22"/>
    </row>
    <row r="344" spans="2:2" ht="15.75" customHeight="1">
      <c r="B344" s="22"/>
    </row>
    <row r="345" spans="2:2" ht="15.75" customHeight="1">
      <c r="B345" s="22"/>
    </row>
    <row r="346" spans="2:2" ht="15.75" customHeight="1">
      <c r="B346" s="22"/>
    </row>
    <row r="347" spans="2:2" ht="15.75" customHeight="1">
      <c r="B347" s="22"/>
    </row>
    <row r="348" spans="2:2" ht="15.75" customHeight="1">
      <c r="B348" s="22"/>
    </row>
    <row r="349" spans="2:2" ht="15.75" customHeight="1">
      <c r="B349" s="22"/>
    </row>
    <row r="350" spans="2:2" ht="15.75" customHeight="1">
      <c r="B350" s="22"/>
    </row>
    <row r="351" spans="2:2" ht="15.75" customHeight="1">
      <c r="B351" s="22"/>
    </row>
    <row r="352" spans="2:2" ht="15.75" customHeight="1">
      <c r="B352" s="22"/>
    </row>
    <row r="353" spans="2:2" ht="15.75" customHeight="1">
      <c r="B353" s="22"/>
    </row>
    <row r="354" spans="2:2" ht="15.75" customHeight="1">
      <c r="B354" s="22"/>
    </row>
    <row r="355" spans="2:2" ht="15.75" customHeight="1">
      <c r="B355" s="22"/>
    </row>
    <row r="356" spans="2:2" ht="15.75" customHeight="1">
      <c r="B356" s="22"/>
    </row>
    <row r="357" spans="2:2" ht="15.75" customHeight="1">
      <c r="B357" s="22"/>
    </row>
    <row r="358" spans="2:2" ht="15.75" customHeight="1">
      <c r="B358" s="22"/>
    </row>
    <row r="359" spans="2:2" ht="15.75" customHeight="1">
      <c r="B359" s="22"/>
    </row>
    <row r="360" spans="2:2" ht="15.75" customHeight="1">
      <c r="B360" s="22"/>
    </row>
    <row r="361" spans="2:2" ht="15.75" customHeight="1">
      <c r="B361" s="22"/>
    </row>
    <row r="362" spans="2:2" ht="15.75" customHeight="1">
      <c r="B362" s="22"/>
    </row>
    <row r="363" spans="2:2" ht="15.75" customHeight="1">
      <c r="B363" s="22"/>
    </row>
    <row r="364" spans="2:2" ht="15.75" customHeight="1">
      <c r="B364" s="22"/>
    </row>
    <row r="365" spans="2:2" ht="15.75" customHeight="1">
      <c r="B365" s="22"/>
    </row>
    <row r="366" spans="2:2" ht="15.75" customHeight="1">
      <c r="B366" s="22"/>
    </row>
    <row r="367" spans="2:2" ht="15.75" customHeight="1">
      <c r="B367" s="22"/>
    </row>
    <row r="368" spans="2:2" ht="15.75" customHeight="1">
      <c r="B368" s="22"/>
    </row>
    <row r="369" spans="2:2" ht="15.75" customHeight="1">
      <c r="B369" s="22"/>
    </row>
    <row r="370" spans="2:2" ht="15.75" customHeight="1">
      <c r="B370" s="22"/>
    </row>
    <row r="371" spans="2:2" ht="15.75" customHeight="1">
      <c r="B371" s="22"/>
    </row>
    <row r="372" spans="2:2" ht="15.75" customHeight="1">
      <c r="B372" s="22"/>
    </row>
    <row r="373" spans="2:2" ht="15.75" customHeight="1">
      <c r="B373" s="22"/>
    </row>
    <row r="374" spans="2:2" ht="15.75" customHeight="1">
      <c r="B374" s="22"/>
    </row>
    <row r="375" spans="2:2" ht="15.75" customHeight="1">
      <c r="B375" s="22"/>
    </row>
    <row r="376" spans="2:2" ht="15.75" customHeight="1">
      <c r="B376" s="22"/>
    </row>
    <row r="377" spans="2:2" ht="15.75" customHeight="1">
      <c r="B377" s="22"/>
    </row>
    <row r="378" spans="2:2" ht="15.75" customHeight="1">
      <c r="B378" s="22"/>
    </row>
    <row r="379" spans="2:2" ht="15.75" customHeight="1">
      <c r="B379" s="22"/>
    </row>
    <row r="380" spans="2:2" ht="15.75" customHeight="1">
      <c r="B380" s="22"/>
    </row>
    <row r="381" spans="2:2" ht="15.75" customHeight="1">
      <c r="B381" s="22"/>
    </row>
    <row r="382" spans="2:2" ht="15.75" customHeight="1">
      <c r="B382" s="22"/>
    </row>
    <row r="383" spans="2:2" ht="15.75" customHeight="1">
      <c r="B383" s="22"/>
    </row>
    <row r="384" spans="2:2" ht="15.75" customHeight="1">
      <c r="B384" s="22"/>
    </row>
    <row r="385" spans="2:2" ht="15.75" customHeight="1">
      <c r="B385" s="22"/>
    </row>
    <row r="386" spans="2:2" ht="15.75" customHeight="1">
      <c r="B386" s="22"/>
    </row>
    <row r="387" spans="2:2" ht="15.75" customHeight="1">
      <c r="B387" s="22"/>
    </row>
    <row r="388" spans="2:2" ht="15.75" customHeight="1">
      <c r="B388" s="22"/>
    </row>
    <row r="389" spans="2:2" ht="15.75" customHeight="1">
      <c r="B389" s="22"/>
    </row>
    <row r="390" spans="2:2" ht="15.75" customHeight="1">
      <c r="B390" s="22"/>
    </row>
    <row r="391" spans="2:2" ht="15.75" customHeight="1">
      <c r="B391" s="22"/>
    </row>
    <row r="392" spans="2:2" ht="15.75" customHeight="1">
      <c r="B392" s="22"/>
    </row>
    <row r="393" spans="2:2" ht="15.75" customHeight="1">
      <c r="B393" s="22"/>
    </row>
    <row r="394" spans="2:2" ht="15.75" customHeight="1">
      <c r="B394" s="22"/>
    </row>
    <row r="395" spans="2:2" ht="15.75" customHeight="1">
      <c r="B395" s="22"/>
    </row>
    <row r="396" spans="2:2" ht="15.75" customHeight="1">
      <c r="B396" s="22"/>
    </row>
    <row r="397" spans="2:2" ht="15.75" customHeight="1">
      <c r="B397" s="22"/>
    </row>
    <row r="398" spans="2:2" ht="15.75" customHeight="1">
      <c r="B398" s="22"/>
    </row>
    <row r="399" spans="2:2" ht="15.75" customHeight="1">
      <c r="B399" s="22"/>
    </row>
    <row r="400" spans="2:2" ht="15.75" customHeight="1">
      <c r="B400" s="22"/>
    </row>
    <row r="401" spans="2:2" ht="15.75" customHeight="1">
      <c r="B401" s="22"/>
    </row>
    <row r="402" spans="2:2" ht="15.75" customHeight="1">
      <c r="B402" s="22"/>
    </row>
    <row r="403" spans="2:2" ht="15.75" customHeight="1">
      <c r="B403" s="22"/>
    </row>
    <row r="404" spans="2:2" ht="15.75" customHeight="1">
      <c r="B404" s="22"/>
    </row>
    <row r="405" spans="2:2" ht="15.75" customHeight="1">
      <c r="B405" s="22"/>
    </row>
    <row r="406" spans="2:2" ht="15.75" customHeight="1">
      <c r="B406" s="22"/>
    </row>
    <row r="407" spans="2:2" ht="15.75" customHeight="1">
      <c r="B407" s="22"/>
    </row>
    <row r="408" spans="2:2" ht="15.75" customHeight="1">
      <c r="B408" s="22"/>
    </row>
    <row r="409" spans="2:2" ht="15.75" customHeight="1">
      <c r="B409" s="22"/>
    </row>
    <row r="410" spans="2:2" ht="15.75" customHeight="1">
      <c r="B410" s="22"/>
    </row>
    <row r="411" spans="2:2" ht="15.75" customHeight="1">
      <c r="B411" s="22"/>
    </row>
    <row r="412" spans="2:2" ht="15.75" customHeight="1">
      <c r="B412" s="22"/>
    </row>
    <row r="413" spans="2:2" ht="15.75" customHeight="1">
      <c r="B413" s="22"/>
    </row>
    <row r="414" spans="2:2" ht="15.75" customHeight="1">
      <c r="B414" s="22"/>
    </row>
    <row r="415" spans="2:2" ht="15.75" customHeight="1">
      <c r="B415" s="22"/>
    </row>
    <row r="416" spans="2:2" ht="15.75" customHeight="1">
      <c r="B416" s="22"/>
    </row>
    <row r="417" spans="2:2" ht="15.75" customHeight="1">
      <c r="B417" s="22"/>
    </row>
    <row r="418" spans="2:2" ht="15.75" customHeight="1">
      <c r="B418" s="22"/>
    </row>
    <row r="419" spans="2:2" ht="15.75" customHeight="1">
      <c r="B419" s="22"/>
    </row>
    <row r="420" spans="2:2" ht="15.75" customHeight="1">
      <c r="B420" s="22"/>
    </row>
    <row r="421" spans="2:2" ht="15.75" customHeight="1">
      <c r="B421" s="22"/>
    </row>
    <row r="422" spans="2:2" ht="15.75" customHeight="1">
      <c r="B422" s="22"/>
    </row>
    <row r="423" spans="2:2" ht="15.75" customHeight="1">
      <c r="B423" s="22"/>
    </row>
    <row r="424" spans="2:2" ht="15.75" customHeight="1">
      <c r="B424" s="22"/>
    </row>
    <row r="425" spans="2:2" ht="15.75" customHeight="1">
      <c r="B425" s="22"/>
    </row>
    <row r="426" spans="2:2" ht="15.75" customHeight="1">
      <c r="B426" s="22"/>
    </row>
    <row r="427" spans="2:2" ht="15.75" customHeight="1">
      <c r="B427" s="22"/>
    </row>
    <row r="428" spans="2:2" ht="15.75" customHeight="1">
      <c r="B428" s="22"/>
    </row>
    <row r="429" spans="2:2" ht="15.75" customHeight="1">
      <c r="B429" s="22"/>
    </row>
    <row r="430" spans="2:2" ht="15.75" customHeight="1">
      <c r="B430" s="22"/>
    </row>
    <row r="431" spans="2:2" ht="15.75" customHeight="1">
      <c r="B431" s="22"/>
    </row>
    <row r="432" spans="2:2" ht="15.75" customHeight="1">
      <c r="B432" s="22"/>
    </row>
    <row r="433" spans="2:2" ht="15.75" customHeight="1">
      <c r="B433" s="22"/>
    </row>
    <row r="434" spans="2:2" ht="15.75" customHeight="1">
      <c r="B434" s="22"/>
    </row>
    <row r="435" spans="2:2" ht="15.75" customHeight="1">
      <c r="B435" s="22"/>
    </row>
    <row r="436" spans="2:2" ht="15.75" customHeight="1">
      <c r="B436" s="22"/>
    </row>
    <row r="437" spans="2:2" ht="15.75" customHeight="1">
      <c r="B437" s="22"/>
    </row>
    <row r="438" spans="2:2" ht="15.75" customHeight="1">
      <c r="B438" s="22"/>
    </row>
    <row r="439" spans="2:2" ht="15.75" customHeight="1">
      <c r="B439" s="22"/>
    </row>
    <row r="440" spans="2:2" ht="15.75" customHeight="1">
      <c r="B440" s="22"/>
    </row>
    <row r="441" spans="2:2" ht="15.75" customHeight="1">
      <c r="B441" s="22"/>
    </row>
    <row r="442" spans="2:2" ht="15.75" customHeight="1">
      <c r="B442" s="22"/>
    </row>
    <row r="443" spans="2:2" ht="15.75" customHeight="1">
      <c r="B443" s="22"/>
    </row>
    <row r="444" spans="2:2" ht="15.75" customHeight="1">
      <c r="B444" s="22"/>
    </row>
    <row r="445" spans="2:2" ht="15.75" customHeight="1">
      <c r="B445" s="22"/>
    </row>
    <row r="446" spans="2:2" ht="15.75" customHeight="1">
      <c r="B446" s="22"/>
    </row>
    <row r="447" spans="2:2" ht="15.75" customHeight="1">
      <c r="B447" s="22"/>
    </row>
    <row r="448" spans="2:2" ht="15.75" customHeight="1">
      <c r="B448" s="22"/>
    </row>
    <row r="449" spans="2:2" ht="15.75" customHeight="1">
      <c r="B449" s="22"/>
    </row>
    <row r="450" spans="2:2" ht="15.75" customHeight="1">
      <c r="B450" s="22"/>
    </row>
    <row r="451" spans="2:2" ht="15.75" customHeight="1">
      <c r="B451" s="22"/>
    </row>
    <row r="452" spans="2:2" ht="15.75" customHeight="1">
      <c r="B452" s="22"/>
    </row>
    <row r="453" spans="2:2" ht="15.75" customHeight="1">
      <c r="B453" s="22"/>
    </row>
    <row r="454" spans="2:2" ht="15.75" customHeight="1">
      <c r="B454" s="22"/>
    </row>
    <row r="455" spans="2:2" ht="15.75" customHeight="1">
      <c r="B455" s="22"/>
    </row>
    <row r="456" spans="2:2" ht="15.75" customHeight="1">
      <c r="B456" s="22"/>
    </row>
    <row r="457" spans="2:2" ht="15.75" customHeight="1">
      <c r="B457" s="22"/>
    </row>
    <row r="458" spans="2:2" ht="15.75" customHeight="1">
      <c r="B458" s="22"/>
    </row>
    <row r="459" spans="2:2" ht="15.75" customHeight="1">
      <c r="B459" s="22"/>
    </row>
    <row r="460" spans="2:2" ht="15.75" customHeight="1">
      <c r="B460" s="22"/>
    </row>
    <row r="461" spans="2:2" ht="15.75" customHeight="1">
      <c r="B461" s="22"/>
    </row>
    <row r="462" spans="2:2" ht="15.75" customHeight="1">
      <c r="B462" s="22"/>
    </row>
    <row r="463" spans="2:2" ht="15.75" customHeight="1">
      <c r="B463" s="22"/>
    </row>
    <row r="464" spans="2:2" ht="15.75" customHeight="1">
      <c r="B464" s="22"/>
    </row>
    <row r="465" spans="2:2" ht="15.75" customHeight="1">
      <c r="B465" s="22"/>
    </row>
    <row r="466" spans="2:2" ht="15.75" customHeight="1">
      <c r="B466" s="22"/>
    </row>
    <row r="467" spans="2:2" ht="15.75" customHeight="1">
      <c r="B467" s="22"/>
    </row>
    <row r="468" spans="2:2" ht="15.75" customHeight="1">
      <c r="B468" s="22"/>
    </row>
    <row r="469" spans="2:2" ht="15.75" customHeight="1">
      <c r="B469" s="22"/>
    </row>
    <row r="470" spans="2:2" ht="15.75" customHeight="1">
      <c r="B470" s="22"/>
    </row>
    <row r="471" spans="2:2" ht="15.75" customHeight="1">
      <c r="B471" s="22"/>
    </row>
    <row r="472" spans="2:2" ht="15.75" customHeight="1">
      <c r="B472" s="22"/>
    </row>
    <row r="473" spans="2:2" ht="15.75" customHeight="1">
      <c r="B473" s="22"/>
    </row>
    <row r="474" spans="2:2" ht="15.75" customHeight="1">
      <c r="B474" s="22"/>
    </row>
    <row r="475" spans="2:2" ht="15.75" customHeight="1">
      <c r="B475" s="22"/>
    </row>
    <row r="476" spans="2:2" ht="15.75" customHeight="1">
      <c r="B476" s="22"/>
    </row>
    <row r="477" spans="2:2" ht="15.75" customHeight="1">
      <c r="B477" s="22"/>
    </row>
    <row r="478" spans="2:2" ht="15.75" customHeight="1">
      <c r="B478" s="22"/>
    </row>
    <row r="479" spans="2:2" ht="15.75" customHeight="1">
      <c r="B479" s="22"/>
    </row>
    <row r="480" spans="2:2" ht="15.75" customHeight="1">
      <c r="B480" s="22"/>
    </row>
    <row r="481" spans="2:2" ht="15.75" customHeight="1">
      <c r="B481" s="22"/>
    </row>
    <row r="482" spans="2:2" ht="15.75" customHeight="1">
      <c r="B482" s="22"/>
    </row>
    <row r="483" spans="2:2" ht="15.75" customHeight="1">
      <c r="B483" s="22"/>
    </row>
    <row r="484" spans="2:2" ht="15.75" customHeight="1">
      <c r="B484" s="22"/>
    </row>
    <row r="485" spans="2:2" ht="15.75" customHeight="1">
      <c r="B485" s="22"/>
    </row>
    <row r="486" spans="2:2" ht="15.75" customHeight="1">
      <c r="B486" s="22"/>
    </row>
    <row r="487" spans="2:2" ht="15.75" customHeight="1">
      <c r="B487" s="22"/>
    </row>
    <row r="488" spans="2:2" ht="15.75" customHeight="1">
      <c r="B488" s="22"/>
    </row>
    <row r="489" spans="2:2" ht="15.75" customHeight="1">
      <c r="B489" s="22"/>
    </row>
    <row r="490" spans="2:2" ht="15.75" customHeight="1">
      <c r="B490" s="22"/>
    </row>
    <row r="491" spans="2:2" ht="15.75" customHeight="1">
      <c r="B491" s="22"/>
    </row>
    <row r="492" spans="2:2" ht="15.75" customHeight="1">
      <c r="B492" s="22"/>
    </row>
    <row r="493" spans="2:2" ht="15.75" customHeight="1">
      <c r="B493" s="22"/>
    </row>
    <row r="494" spans="2:2" ht="15.75" customHeight="1">
      <c r="B494" s="22"/>
    </row>
    <row r="495" spans="2:2" ht="15.75" customHeight="1">
      <c r="B495" s="22"/>
    </row>
    <row r="496" spans="2:2" ht="15.75" customHeight="1">
      <c r="B496" s="22"/>
    </row>
    <row r="497" spans="2:2" ht="15.75" customHeight="1">
      <c r="B497" s="22"/>
    </row>
    <row r="498" spans="2:2" ht="15.75" customHeight="1">
      <c r="B498" s="22"/>
    </row>
    <row r="499" spans="2:2" ht="15.75" customHeight="1">
      <c r="B499" s="22"/>
    </row>
    <row r="500" spans="2:2" ht="15.75" customHeight="1">
      <c r="B500" s="22"/>
    </row>
    <row r="501" spans="2:2" ht="15.75" customHeight="1">
      <c r="B501" s="22"/>
    </row>
    <row r="502" spans="2:2" ht="15.75" customHeight="1">
      <c r="B502" s="22"/>
    </row>
    <row r="503" spans="2:2" ht="15.75" customHeight="1">
      <c r="B503" s="22"/>
    </row>
    <row r="504" spans="2:2" ht="15.75" customHeight="1">
      <c r="B504" s="22"/>
    </row>
    <row r="505" spans="2:2" ht="15.75" customHeight="1">
      <c r="B505" s="22"/>
    </row>
    <row r="506" spans="2:2" ht="15.75" customHeight="1">
      <c r="B506" s="22"/>
    </row>
    <row r="507" spans="2:2" ht="15.75" customHeight="1">
      <c r="B507" s="22"/>
    </row>
    <row r="508" spans="2:2" ht="15.75" customHeight="1">
      <c r="B508" s="22"/>
    </row>
    <row r="509" spans="2:2" ht="15.75" customHeight="1">
      <c r="B509" s="22"/>
    </row>
    <row r="510" spans="2:2" ht="15.75" customHeight="1">
      <c r="B510" s="22"/>
    </row>
    <row r="511" spans="2:2" ht="15.75" customHeight="1">
      <c r="B511" s="22"/>
    </row>
    <row r="512" spans="2:2" ht="15.75" customHeight="1">
      <c r="B512" s="22"/>
    </row>
    <row r="513" spans="2:2" ht="15.75" customHeight="1">
      <c r="B513" s="22"/>
    </row>
    <row r="514" spans="2:2" ht="15.75" customHeight="1">
      <c r="B514" s="22"/>
    </row>
    <row r="515" spans="2:2" ht="15.75" customHeight="1">
      <c r="B515" s="22"/>
    </row>
    <row r="516" spans="2:2" ht="15.75" customHeight="1">
      <c r="B516" s="22"/>
    </row>
    <row r="517" spans="2:2" ht="15.75" customHeight="1">
      <c r="B517" s="22"/>
    </row>
    <row r="518" spans="2:2" ht="15.75" customHeight="1">
      <c r="B518" s="22"/>
    </row>
    <row r="519" spans="2:2" ht="15.75" customHeight="1">
      <c r="B519" s="22"/>
    </row>
    <row r="520" spans="2:2" ht="15.75" customHeight="1">
      <c r="B520" s="22"/>
    </row>
    <row r="521" spans="2:2" ht="15.75" customHeight="1">
      <c r="B521" s="22"/>
    </row>
    <row r="522" spans="2:2" ht="15.75" customHeight="1">
      <c r="B522" s="22"/>
    </row>
    <row r="523" spans="2:2" ht="15.75" customHeight="1">
      <c r="B523" s="22"/>
    </row>
    <row r="524" spans="2:2" ht="15.75" customHeight="1">
      <c r="B524" s="22"/>
    </row>
    <row r="525" spans="2:2" ht="15.75" customHeight="1">
      <c r="B525" s="22"/>
    </row>
    <row r="526" spans="2:2" ht="15.75" customHeight="1">
      <c r="B526" s="22"/>
    </row>
    <row r="527" spans="2:2" ht="15.75" customHeight="1">
      <c r="B527" s="22"/>
    </row>
    <row r="528" spans="2:2" ht="15.75" customHeight="1">
      <c r="B528" s="22"/>
    </row>
    <row r="529" spans="2:2" ht="15.75" customHeight="1">
      <c r="B529" s="22"/>
    </row>
    <row r="530" spans="2:2" ht="15.75" customHeight="1">
      <c r="B530" s="22"/>
    </row>
    <row r="531" spans="2:2" ht="15.75" customHeight="1">
      <c r="B531" s="22"/>
    </row>
    <row r="532" spans="2:2" ht="15.75" customHeight="1">
      <c r="B532" s="22"/>
    </row>
    <row r="533" spans="2:2" ht="15.75" customHeight="1">
      <c r="B533" s="22"/>
    </row>
    <row r="534" spans="2:2" ht="15.75" customHeight="1">
      <c r="B534" s="22"/>
    </row>
    <row r="535" spans="2:2" ht="15.75" customHeight="1">
      <c r="B535" s="22"/>
    </row>
    <row r="536" spans="2:2" ht="15.75" customHeight="1">
      <c r="B536" s="22"/>
    </row>
    <row r="537" spans="2:2" ht="15.75" customHeight="1">
      <c r="B537" s="22"/>
    </row>
    <row r="538" spans="2:2" ht="15.75" customHeight="1">
      <c r="B538" s="22"/>
    </row>
    <row r="539" spans="2:2" ht="15.75" customHeight="1">
      <c r="B539" s="22"/>
    </row>
    <row r="540" spans="2:2" ht="15.75" customHeight="1">
      <c r="B540" s="22"/>
    </row>
    <row r="541" spans="2:2" ht="15.75" customHeight="1">
      <c r="B541" s="22"/>
    </row>
    <row r="542" spans="2:2" ht="15.75" customHeight="1">
      <c r="B542" s="22"/>
    </row>
    <row r="543" spans="2:2" ht="15.75" customHeight="1">
      <c r="B543" s="22"/>
    </row>
    <row r="544" spans="2:2" ht="15.75" customHeight="1">
      <c r="B544" s="22"/>
    </row>
    <row r="545" spans="2:2" ht="15.75" customHeight="1">
      <c r="B545" s="22"/>
    </row>
    <row r="546" spans="2:2" ht="15.75" customHeight="1">
      <c r="B546" s="22"/>
    </row>
    <row r="547" spans="2:2" ht="15.75" customHeight="1">
      <c r="B547" s="22"/>
    </row>
    <row r="548" spans="2:2" ht="15.75" customHeight="1">
      <c r="B548" s="22"/>
    </row>
    <row r="549" spans="2:2" ht="15.75" customHeight="1">
      <c r="B549" s="22"/>
    </row>
    <row r="550" spans="2:2" ht="15.75" customHeight="1">
      <c r="B550" s="22"/>
    </row>
    <row r="551" spans="2:2" ht="15.75" customHeight="1">
      <c r="B551" s="22"/>
    </row>
    <row r="552" spans="2:2" ht="15.75" customHeight="1">
      <c r="B552" s="22"/>
    </row>
    <row r="553" spans="2:2" ht="15.75" customHeight="1">
      <c r="B553" s="22"/>
    </row>
    <row r="554" spans="2:2" ht="15.75" customHeight="1">
      <c r="B554" s="22"/>
    </row>
    <row r="555" spans="2:2" ht="15.75" customHeight="1">
      <c r="B555" s="22"/>
    </row>
    <row r="556" spans="2:2" ht="15.75" customHeight="1">
      <c r="B556" s="22"/>
    </row>
    <row r="557" spans="2:2" ht="15.75" customHeight="1">
      <c r="B557" s="22"/>
    </row>
    <row r="558" spans="2:2" ht="15.75" customHeight="1">
      <c r="B558" s="22"/>
    </row>
    <row r="559" spans="2:2" ht="15.75" customHeight="1">
      <c r="B559" s="22"/>
    </row>
    <row r="560" spans="2:2" ht="15.75" customHeight="1">
      <c r="B560" s="22"/>
    </row>
    <row r="561" spans="2:2" ht="15.75" customHeight="1">
      <c r="B561" s="22"/>
    </row>
    <row r="562" spans="2:2" ht="15.75" customHeight="1">
      <c r="B562" s="22"/>
    </row>
    <row r="563" spans="2:2" ht="15.75" customHeight="1">
      <c r="B563" s="22"/>
    </row>
    <row r="564" spans="2:2" ht="15.75" customHeight="1">
      <c r="B564" s="22"/>
    </row>
    <row r="565" spans="2:2" ht="15.75" customHeight="1">
      <c r="B565" s="22"/>
    </row>
    <row r="566" spans="2:2" ht="15.75" customHeight="1">
      <c r="B566" s="22"/>
    </row>
    <row r="567" spans="2:2" ht="15.75" customHeight="1">
      <c r="B567" s="22"/>
    </row>
    <row r="568" spans="2:2" ht="15.75" customHeight="1">
      <c r="B568" s="22"/>
    </row>
    <row r="569" spans="2:2" ht="15.75" customHeight="1">
      <c r="B569" s="22"/>
    </row>
    <row r="570" spans="2:2" ht="15.75" customHeight="1">
      <c r="B570" s="22"/>
    </row>
    <row r="571" spans="2:2" ht="15.75" customHeight="1">
      <c r="B571" s="22"/>
    </row>
    <row r="572" spans="2:2" ht="15.75" customHeight="1">
      <c r="B572" s="22"/>
    </row>
    <row r="573" spans="2:2" ht="15.75" customHeight="1">
      <c r="B573" s="22"/>
    </row>
    <row r="574" spans="2:2" ht="15.75" customHeight="1">
      <c r="B574" s="22"/>
    </row>
    <row r="575" spans="2:2" ht="15.75" customHeight="1">
      <c r="B575" s="22"/>
    </row>
    <row r="576" spans="2:2" ht="15.75" customHeight="1">
      <c r="B576" s="22"/>
    </row>
    <row r="577" spans="2:2" ht="15.75" customHeight="1">
      <c r="B577" s="22"/>
    </row>
    <row r="578" spans="2:2" ht="15.75" customHeight="1">
      <c r="B578" s="22"/>
    </row>
    <row r="579" spans="2:2" ht="15.75" customHeight="1">
      <c r="B579" s="22"/>
    </row>
    <row r="580" spans="2:2" ht="15.75" customHeight="1">
      <c r="B580" s="22"/>
    </row>
    <row r="581" spans="2:2" ht="15.75" customHeight="1">
      <c r="B581" s="22"/>
    </row>
    <row r="582" spans="2:2" ht="15.75" customHeight="1">
      <c r="B582" s="22"/>
    </row>
    <row r="583" spans="2:2" ht="15.75" customHeight="1">
      <c r="B583" s="22"/>
    </row>
    <row r="584" spans="2:2" ht="15.75" customHeight="1">
      <c r="B584" s="22"/>
    </row>
    <row r="585" spans="2:2" ht="15.75" customHeight="1">
      <c r="B585" s="22"/>
    </row>
    <row r="586" spans="2:2" ht="15.75" customHeight="1">
      <c r="B586" s="22"/>
    </row>
    <row r="587" spans="2:2" ht="15.75" customHeight="1">
      <c r="B587" s="22"/>
    </row>
    <row r="588" spans="2:2" ht="15.75" customHeight="1">
      <c r="B588" s="22"/>
    </row>
    <row r="589" spans="2:2" ht="15.75" customHeight="1">
      <c r="B589" s="22"/>
    </row>
    <row r="590" spans="2:2" ht="15.75" customHeight="1">
      <c r="B590" s="22"/>
    </row>
    <row r="591" spans="2:2" ht="15.75" customHeight="1">
      <c r="B591" s="22"/>
    </row>
    <row r="592" spans="2:2" ht="15.75" customHeight="1">
      <c r="B592" s="22"/>
    </row>
    <row r="593" spans="2:2" ht="15.75" customHeight="1">
      <c r="B593" s="22"/>
    </row>
    <row r="594" spans="2:2" ht="15.75" customHeight="1">
      <c r="B594" s="22"/>
    </row>
    <row r="595" spans="2:2" ht="15.75" customHeight="1">
      <c r="B595" s="22"/>
    </row>
    <row r="596" spans="2:2" ht="15.75" customHeight="1">
      <c r="B596" s="22"/>
    </row>
    <row r="597" spans="2:2" ht="15.75" customHeight="1">
      <c r="B597" s="22"/>
    </row>
    <row r="598" spans="2:2" ht="15.75" customHeight="1">
      <c r="B598" s="22"/>
    </row>
    <row r="599" spans="2:2" ht="15.75" customHeight="1">
      <c r="B599" s="22"/>
    </row>
    <row r="600" spans="2:2" ht="15.75" customHeight="1">
      <c r="B600" s="22"/>
    </row>
    <row r="601" spans="2:2" ht="15.75" customHeight="1">
      <c r="B601" s="22"/>
    </row>
    <row r="602" spans="2:2" ht="15.75" customHeight="1">
      <c r="B602" s="22"/>
    </row>
    <row r="603" spans="2:2" ht="15.75" customHeight="1">
      <c r="B603" s="22"/>
    </row>
    <row r="604" spans="2:2" ht="15.75" customHeight="1">
      <c r="B604" s="22"/>
    </row>
    <row r="605" spans="2:2" ht="15.75" customHeight="1">
      <c r="B605" s="22"/>
    </row>
    <row r="606" spans="2:2" ht="15.75" customHeight="1">
      <c r="B606" s="22"/>
    </row>
    <row r="607" spans="2:2" ht="15.75" customHeight="1">
      <c r="B607" s="22"/>
    </row>
    <row r="608" spans="2:2" ht="15.75" customHeight="1">
      <c r="B608" s="22"/>
    </row>
    <row r="609" spans="2:2" ht="15.75" customHeight="1">
      <c r="B609" s="22"/>
    </row>
    <row r="610" spans="2:2" ht="15.75" customHeight="1">
      <c r="B610" s="22"/>
    </row>
    <row r="611" spans="2:2" ht="15.75" customHeight="1">
      <c r="B611" s="22"/>
    </row>
    <row r="612" spans="2:2" ht="15.75" customHeight="1">
      <c r="B612" s="22"/>
    </row>
    <row r="613" spans="2:2" ht="15.75" customHeight="1">
      <c r="B613" s="22"/>
    </row>
    <row r="614" spans="2:2" ht="15.75" customHeight="1">
      <c r="B614" s="22"/>
    </row>
    <row r="615" spans="2:2" ht="15.75" customHeight="1">
      <c r="B615" s="22"/>
    </row>
    <row r="616" spans="2:2" ht="15.75" customHeight="1">
      <c r="B616" s="22"/>
    </row>
    <row r="617" spans="2:2" ht="15.75" customHeight="1">
      <c r="B617" s="22"/>
    </row>
    <row r="618" spans="2:2" ht="15.75" customHeight="1">
      <c r="B618" s="22"/>
    </row>
    <row r="619" spans="2:2" ht="15.75" customHeight="1">
      <c r="B619" s="22"/>
    </row>
    <row r="620" spans="2:2" ht="15.75" customHeight="1">
      <c r="B620" s="22"/>
    </row>
    <row r="621" spans="2:2" ht="15.75" customHeight="1">
      <c r="B621" s="22"/>
    </row>
    <row r="622" spans="2:2" ht="15.75" customHeight="1">
      <c r="B622" s="22"/>
    </row>
    <row r="623" spans="2:2" ht="15.75" customHeight="1">
      <c r="B623" s="22"/>
    </row>
    <row r="624" spans="2:2" ht="15.75" customHeight="1">
      <c r="B624" s="22"/>
    </row>
    <row r="625" spans="2:2" ht="15.75" customHeight="1">
      <c r="B625" s="22"/>
    </row>
    <row r="626" spans="2:2" ht="15.75" customHeight="1">
      <c r="B626" s="22"/>
    </row>
    <row r="627" spans="2:2" ht="15.75" customHeight="1">
      <c r="B627" s="22"/>
    </row>
    <row r="628" spans="2:2" ht="15.75" customHeight="1">
      <c r="B628" s="22"/>
    </row>
    <row r="629" spans="2:2" ht="15.75" customHeight="1">
      <c r="B629" s="22"/>
    </row>
    <row r="630" spans="2:2" ht="15.75" customHeight="1">
      <c r="B630" s="22"/>
    </row>
    <row r="631" spans="2:2" ht="15.75" customHeight="1">
      <c r="B631" s="22"/>
    </row>
    <row r="632" spans="2:2" ht="15.75" customHeight="1">
      <c r="B632" s="22"/>
    </row>
    <row r="633" spans="2:2" ht="15.75" customHeight="1">
      <c r="B633" s="22"/>
    </row>
    <row r="634" spans="2:2" ht="15.75" customHeight="1">
      <c r="B634" s="22"/>
    </row>
    <row r="635" spans="2:2" ht="15.75" customHeight="1">
      <c r="B635" s="22"/>
    </row>
    <row r="636" spans="2:2" ht="15.75" customHeight="1">
      <c r="B636" s="22"/>
    </row>
    <row r="637" spans="2:2" ht="15.75" customHeight="1">
      <c r="B637" s="22"/>
    </row>
    <row r="638" spans="2:2" ht="15.75" customHeight="1">
      <c r="B638" s="22"/>
    </row>
    <row r="639" spans="2:2" ht="15.75" customHeight="1">
      <c r="B639" s="22"/>
    </row>
    <row r="640" spans="2:2" ht="15.75" customHeight="1">
      <c r="B640" s="22"/>
    </row>
    <row r="641" spans="2:2" ht="15.75" customHeight="1">
      <c r="B641" s="22"/>
    </row>
    <row r="642" spans="2:2" ht="15.75" customHeight="1">
      <c r="B642" s="22"/>
    </row>
    <row r="643" spans="2:2" ht="15.75" customHeight="1">
      <c r="B643" s="22"/>
    </row>
    <row r="644" spans="2:2" ht="15.75" customHeight="1">
      <c r="B644" s="22"/>
    </row>
    <row r="645" spans="2:2" ht="15.75" customHeight="1">
      <c r="B645" s="22"/>
    </row>
    <row r="646" spans="2:2" ht="15.75" customHeight="1">
      <c r="B646" s="22"/>
    </row>
    <row r="647" spans="2:2" ht="15.75" customHeight="1">
      <c r="B647" s="22"/>
    </row>
    <row r="648" spans="2:2" ht="15.75" customHeight="1">
      <c r="B648" s="22"/>
    </row>
    <row r="649" spans="2:2" ht="15.75" customHeight="1">
      <c r="B649" s="22"/>
    </row>
    <row r="650" spans="2:2" ht="15.75" customHeight="1">
      <c r="B650" s="22"/>
    </row>
    <row r="651" spans="2:2" ht="15.75" customHeight="1">
      <c r="B651" s="22"/>
    </row>
    <row r="652" spans="2:2" ht="15.75" customHeight="1">
      <c r="B652" s="22"/>
    </row>
    <row r="653" spans="2:2" ht="15.75" customHeight="1">
      <c r="B653" s="22"/>
    </row>
    <row r="654" spans="2:2" ht="15.75" customHeight="1">
      <c r="B654" s="22"/>
    </row>
    <row r="655" spans="2:2" ht="15.75" customHeight="1">
      <c r="B655" s="22"/>
    </row>
    <row r="656" spans="2:2" ht="15.75" customHeight="1">
      <c r="B656" s="22"/>
    </row>
    <row r="657" spans="2:2" ht="15.75" customHeight="1">
      <c r="B657" s="22"/>
    </row>
    <row r="658" spans="2:2" ht="15.75" customHeight="1">
      <c r="B658" s="22"/>
    </row>
    <row r="659" spans="2:2" ht="15.75" customHeight="1">
      <c r="B659" s="22"/>
    </row>
    <row r="660" spans="2:2" ht="15.75" customHeight="1">
      <c r="B660" s="22"/>
    </row>
    <row r="661" spans="2:2" ht="15.75" customHeight="1">
      <c r="B661" s="22"/>
    </row>
    <row r="662" spans="2:2" ht="15.75" customHeight="1">
      <c r="B662" s="22"/>
    </row>
    <row r="663" spans="2:2" ht="15.75" customHeight="1">
      <c r="B663" s="22"/>
    </row>
    <row r="664" spans="2:2" ht="15.75" customHeight="1">
      <c r="B664" s="22"/>
    </row>
    <row r="665" spans="2:2" ht="15.75" customHeight="1">
      <c r="B665" s="22"/>
    </row>
    <row r="666" spans="2:2" ht="15.75" customHeight="1">
      <c r="B666" s="22"/>
    </row>
    <row r="667" spans="2:2" ht="15.75" customHeight="1">
      <c r="B667" s="22"/>
    </row>
    <row r="668" spans="2:2" ht="15.75" customHeight="1">
      <c r="B668" s="22"/>
    </row>
    <row r="669" spans="2:2" ht="15.75" customHeight="1">
      <c r="B669" s="22"/>
    </row>
    <row r="670" spans="2:2" ht="15.75" customHeight="1">
      <c r="B670" s="22"/>
    </row>
    <row r="671" spans="2:2" ht="15.75" customHeight="1">
      <c r="B671" s="22"/>
    </row>
    <row r="672" spans="2:2" ht="15.75" customHeight="1">
      <c r="B672" s="22"/>
    </row>
    <row r="673" spans="2:2" ht="15.75" customHeight="1">
      <c r="B673" s="22"/>
    </row>
    <row r="674" spans="2:2" ht="15.75" customHeight="1">
      <c r="B674" s="22"/>
    </row>
    <row r="675" spans="2:2" ht="15.75" customHeight="1">
      <c r="B675" s="22"/>
    </row>
    <row r="676" spans="2:2" ht="15.75" customHeight="1">
      <c r="B676" s="22"/>
    </row>
    <row r="677" spans="2:2" ht="15.75" customHeight="1">
      <c r="B677" s="22"/>
    </row>
    <row r="678" spans="2:2" ht="15.75" customHeight="1">
      <c r="B678" s="22"/>
    </row>
    <row r="679" spans="2:2" ht="15.75" customHeight="1">
      <c r="B679" s="22"/>
    </row>
    <row r="680" spans="2:2" ht="15.75" customHeight="1">
      <c r="B680" s="22"/>
    </row>
    <row r="681" spans="2:2" ht="15.75" customHeight="1">
      <c r="B681" s="22"/>
    </row>
    <row r="682" spans="2:2" ht="15.75" customHeight="1">
      <c r="B682" s="22"/>
    </row>
    <row r="683" spans="2:2" ht="15.75" customHeight="1">
      <c r="B683" s="22"/>
    </row>
    <row r="684" spans="2:2" ht="15.75" customHeight="1">
      <c r="B684" s="22"/>
    </row>
    <row r="685" spans="2:2" ht="15.75" customHeight="1">
      <c r="B685" s="22"/>
    </row>
    <row r="686" spans="2:2" ht="15.75" customHeight="1">
      <c r="B686" s="22"/>
    </row>
    <row r="687" spans="2:2" ht="15.75" customHeight="1">
      <c r="B687" s="22"/>
    </row>
    <row r="688" spans="2:2" ht="15.75" customHeight="1">
      <c r="B688" s="22"/>
    </row>
    <row r="689" spans="2:2" ht="15.75" customHeight="1">
      <c r="B689" s="22"/>
    </row>
    <row r="690" spans="2:2" ht="15.75" customHeight="1">
      <c r="B690" s="22"/>
    </row>
    <row r="691" spans="2:2" ht="15.75" customHeight="1">
      <c r="B691" s="22"/>
    </row>
    <row r="692" spans="2:2" ht="15.75" customHeight="1">
      <c r="B692" s="22"/>
    </row>
    <row r="693" spans="2:2" ht="15.75" customHeight="1">
      <c r="B693" s="22"/>
    </row>
    <row r="694" spans="2:2" ht="15.75" customHeight="1">
      <c r="B694" s="22"/>
    </row>
    <row r="695" spans="2:2" ht="15.75" customHeight="1">
      <c r="B695" s="22"/>
    </row>
    <row r="696" spans="2:2" ht="15.75" customHeight="1">
      <c r="B696" s="22"/>
    </row>
    <row r="697" spans="2:2" ht="15.75" customHeight="1">
      <c r="B697" s="22"/>
    </row>
    <row r="698" spans="2:2" ht="15.75" customHeight="1">
      <c r="B698" s="22"/>
    </row>
    <row r="699" spans="2:2" ht="15.75" customHeight="1">
      <c r="B699" s="22"/>
    </row>
    <row r="700" spans="2:2" ht="15.75" customHeight="1">
      <c r="B700" s="22"/>
    </row>
    <row r="701" spans="2:2" ht="15.75" customHeight="1">
      <c r="B701" s="22"/>
    </row>
    <row r="702" spans="2:2" ht="15.75" customHeight="1">
      <c r="B702" s="22"/>
    </row>
    <row r="703" spans="2:2" ht="15.75" customHeight="1">
      <c r="B703" s="22"/>
    </row>
    <row r="704" spans="2:2" ht="15.75" customHeight="1">
      <c r="B704" s="22"/>
    </row>
    <row r="705" spans="2:2" ht="15.75" customHeight="1">
      <c r="B705" s="22"/>
    </row>
    <row r="706" spans="2:2" ht="15.75" customHeight="1">
      <c r="B706" s="22"/>
    </row>
    <row r="707" spans="2:2" ht="15.75" customHeight="1">
      <c r="B707" s="22"/>
    </row>
    <row r="708" spans="2:2" ht="15.75" customHeight="1">
      <c r="B708" s="22"/>
    </row>
    <row r="709" spans="2:2" ht="15.75" customHeight="1">
      <c r="B709" s="22"/>
    </row>
    <row r="710" spans="2:2" ht="15.75" customHeight="1">
      <c r="B710" s="22"/>
    </row>
    <row r="711" spans="2:2" ht="15.75" customHeight="1">
      <c r="B711" s="22"/>
    </row>
    <row r="712" spans="2:2" ht="15.75" customHeight="1">
      <c r="B712" s="22"/>
    </row>
    <row r="713" spans="2:2" ht="15.75" customHeight="1">
      <c r="B713" s="22"/>
    </row>
    <row r="714" spans="2:2" ht="15.75" customHeight="1">
      <c r="B714" s="22"/>
    </row>
    <row r="715" spans="2:2" ht="15.75" customHeight="1">
      <c r="B715" s="22"/>
    </row>
    <row r="716" spans="2:2" ht="15.75" customHeight="1">
      <c r="B716" s="22"/>
    </row>
    <row r="717" spans="2:2" ht="15.75" customHeight="1">
      <c r="B717" s="22"/>
    </row>
    <row r="718" spans="2:2" ht="15.75" customHeight="1">
      <c r="B718" s="22"/>
    </row>
    <row r="719" spans="2:2" ht="15.75" customHeight="1">
      <c r="B719" s="22"/>
    </row>
    <row r="720" spans="2:2" ht="15.75" customHeight="1">
      <c r="B720" s="22"/>
    </row>
    <row r="721" spans="2:2" ht="15.75" customHeight="1">
      <c r="B721" s="22"/>
    </row>
    <row r="722" spans="2:2" ht="15.75" customHeight="1">
      <c r="B722" s="22"/>
    </row>
    <row r="723" spans="2:2" ht="15.75" customHeight="1">
      <c r="B723" s="22"/>
    </row>
    <row r="724" spans="2:2" ht="15.75" customHeight="1">
      <c r="B724" s="22"/>
    </row>
    <row r="725" spans="2:2" ht="15.75" customHeight="1">
      <c r="B725" s="22"/>
    </row>
    <row r="726" spans="2:2" ht="15.75" customHeight="1">
      <c r="B726" s="22"/>
    </row>
    <row r="727" spans="2:2" ht="15.75" customHeight="1">
      <c r="B727" s="22"/>
    </row>
    <row r="728" spans="2:2" ht="15.75" customHeight="1">
      <c r="B728" s="22"/>
    </row>
    <row r="729" spans="2:2" ht="15.75" customHeight="1">
      <c r="B729" s="22"/>
    </row>
    <row r="730" spans="2:2" ht="15.75" customHeight="1">
      <c r="B730" s="22"/>
    </row>
    <row r="731" spans="2:2" ht="15.75" customHeight="1">
      <c r="B731" s="22"/>
    </row>
    <row r="732" spans="2:2" ht="15.75" customHeight="1">
      <c r="B732" s="22"/>
    </row>
    <row r="733" spans="2:2" ht="15.75" customHeight="1">
      <c r="B733" s="22"/>
    </row>
    <row r="734" spans="2:2" ht="15.75" customHeight="1">
      <c r="B734" s="22"/>
    </row>
    <row r="735" spans="2:2" ht="15.75" customHeight="1">
      <c r="B735" s="22"/>
    </row>
    <row r="736" spans="2:2" ht="15.75" customHeight="1">
      <c r="B736" s="22"/>
    </row>
    <row r="737" spans="2:2" ht="15.75" customHeight="1">
      <c r="B737" s="22"/>
    </row>
    <row r="738" spans="2:2" ht="15.75" customHeight="1">
      <c r="B738" s="22"/>
    </row>
    <row r="739" spans="2:2" ht="15.75" customHeight="1">
      <c r="B739" s="22"/>
    </row>
    <row r="740" spans="2:2" ht="15.75" customHeight="1">
      <c r="B740" s="22"/>
    </row>
    <row r="741" spans="2:2" ht="15.75" customHeight="1">
      <c r="B741" s="22"/>
    </row>
    <row r="742" spans="2:2" ht="15.75" customHeight="1">
      <c r="B742" s="22"/>
    </row>
    <row r="743" spans="2:2" ht="15.75" customHeight="1">
      <c r="B743" s="22"/>
    </row>
    <row r="744" spans="2:2" ht="15.75" customHeight="1">
      <c r="B744" s="22"/>
    </row>
    <row r="745" spans="2:2" ht="15.75" customHeight="1">
      <c r="B745" s="22"/>
    </row>
    <row r="746" spans="2:2" ht="15.75" customHeight="1">
      <c r="B746" s="22"/>
    </row>
    <row r="747" spans="2:2" ht="15.75" customHeight="1">
      <c r="B747" s="22"/>
    </row>
    <row r="748" spans="2:2" ht="15.75" customHeight="1">
      <c r="B748" s="22"/>
    </row>
    <row r="749" spans="2:2" ht="15.75" customHeight="1">
      <c r="B749" s="22"/>
    </row>
    <row r="750" spans="2:2" ht="15.75" customHeight="1">
      <c r="B750" s="22"/>
    </row>
    <row r="751" spans="2:2" ht="15.75" customHeight="1">
      <c r="B751" s="22"/>
    </row>
    <row r="752" spans="2:2" ht="15.75" customHeight="1">
      <c r="B752" s="22"/>
    </row>
    <row r="753" spans="2:2" ht="15.75" customHeight="1">
      <c r="B753" s="22"/>
    </row>
    <row r="754" spans="2:2" ht="15.75" customHeight="1">
      <c r="B754" s="22"/>
    </row>
    <row r="755" spans="2:2" ht="15.75" customHeight="1">
      <c r="B755" s="22"/>
    </row>
    <row r="756" spans="2:2" ht="15.75" customHeight="1">
      <c r="B756" s="22"/>
    </row>
    <row r="757" spans="2:2" ht="15.75" customHeight="1">
      <c r="B757" s="22"/>
    </row>
    <row r="758" spans="2:2" ht="15.75" customHeight="1">
      <c r="B758" s="22"/>
    </row>
    <row r="759" spans="2:2" ht="15.75" customHeight="1">
      <c r="B759" s="22"/>
    </row>
    <row r="760" spans="2:2" ht="15.75" customHeight="1">
      <c r="B760" s="22"/>
    </row>
    <row r="761" spans="2:2" ht="15.75" customHeight="1">
      <c r="B761" s="22"/>
    </row>
    <row r="762" spans="2:2" ht="15.75" customHeight="1">
      <c r="B762" s="22"/>
    </row>
    <row r="763" spans="2:2" ht="15.75" customHeight="1">
      <c r="B763" s="22"/>
    </row>
    <row r="764" spans="2:2" ht="15.75" customHeight="1">
      <c r="B764" s="22"/>
    </row>
    <row r="765" spans="2:2" ht="15.75" customHeight="1">
      <c r="B765" s="22"/>
    </row>
    <row r="766" spans="2:2" ht="15.75" customHeight="1">
      <c r="B766" s="22"/>
    </row>
    <row r="767" spans="2:2" ht="15.75" customHeight="1">
      <c r="B767" s="22"/>
    </row>
    <row r="768" spans="2:2" ht="15.75" customHeight="1">
      <c r="B768" s="22"/>
    </row>
    <row r="769" spans="2:2" ht="15.75" customHeight="1">
      <c r="B769" s="22"/>
    </row>
    <row r="770" spans="2:2" ht="15.75" customHeight="1">
      <c r="B770" s="22"/>
    </row>
    <row r="771" spans="2:2" ht="15.75" customHeight="1">
      <c r="B771" s="22"/>
    </row>
    <row r="772" spans="2:2" ht="15.75" customHeight="1">
      <c r="B772" s="22"/>
    </row>
    <row r="773" spans="2:2" ht="15.75" customHeight="1">
      <c r="B773" s="22"/>
    </row>
    <row r="774" spans="2:2" ht="15.75" customHeight="1">
      <c r="B774" s="22"/>
    </row>
    <row r="775" spans="2:2" ht="15.75" customHeight="1">
      <c r="B775" s="22"/>
    </row>
    <row r="776" spans="2:2" ht="15.75" customHeight="1">
      <c r="B776" s="22"/>
    </row>
    <row r="777" spans="2:2" ht="15.75" customHeight="1">
      <c r="B777" s="22"/>
    </row>
    <row r="778" spans="2:2" ht="15.75" customHeight="1">
      <c r="B778" s="22"/>
    </row>
    <row r="779" spans="2:2" ht="15.75" customHeight="1">
      <c r="B779" s="22"/>
    </row>
    <row r="780" spans="2:2" ht="15.75" customHeight="1">
      <c r="B780" s="22"/>
    </row>
    <row r="781" spans="2:2" ht="15.75" customHeight="1">
      <c r="B781" s="22"/>
    </row>
    <row r="782" spans="2:2" ht="15.75" customHeight="1">
      <c r="B782" s="22"/>
    </row>
    <row r="783" spans="2:2" ht="15.75" customHeight="1">
      <c r="B783" s="22"/>
    </row>
    <row r="784" spans="2:2" ht="15.75" customHeight="1">
      <c r="B784" s="22"/>
    </row>
    <row r="785" spans="2:2" ht="15.75" customHeight="1">
      <c r="B785" s="22"/>
    </row>
    <row r="786" spans="2:2" ht="15.75" customHeight="1">
      <c r="B786" s="22"/>
    </row>
    <row r="787" spans="2:2" ht="15.75" customHeight="1">
      <c r="B787" s="22"/>
    </row>
    <row r="788" spans="2:2" ht="15.75" customHeight="1">
      <c r="B788" s="22"/>
    </row>
    <row r="789" spans="2:2" ht="15.75" customHeight="1">
      <c r="B789" s="22"/>
    </row>
    <row r="790" spans="2:2" ht="15.75" customHeight="1">
      <c r="B790" s="22"/>
    </row>
    <row r="791" spans="2:2" ht="15.75" customHeight="1">
      <c r="B791" s="22"/>
    </row>
    <row r="792" spans="2:2" ht="15.75" customHeight="1">
      <c r="B792" s="22"/>
    </row>
    <row r="793" spans="2:2" ht="15.75" customHeight="1">
      <c r="B793" s="22"/>
    </row>
    <row r="794" spans="2:2" ht="15.75" customHeight="1">
      <c r="B794" s="22"/>
    </row>
    <row r="795" spans="2:2" ht="15.75" customHeight="1">
      <c r="B795" s="22"/>
    </row>
    <row r="796" spans="2:2" ht="15.75" customHeight="1">
      <c r="B796" s="22"/>
    </row>
    <row r="797" spans="2:2" ht="15.75" customHeight="1">
      <c r="B797" s="22"/>
    </row>
    <row r="798" spans="2:2" ht="15.75" customHeight="1">
      <c r="B798" s="22"/>
    </row>
    <row r="799" spans="2:2" ht="15.75" customHeight="1">
      <c r="B799" s="22"/>
    </row>
    <row r="800" spans="2:2" ht="15.75" customHeight="1">
      <c r="B800" s="22"/>
    </row>
    <row r="801" spans="2:2" ht="15.75" customHeight="1">
      <c r="B801" s="22"/>
    </row>
    <row r="802" spans="2:2" ht="15.75" customHeight="1">
      <c r="B802" s="22"/>
    </row>
    <row r="803" spans="2:2" ht="15.75" customHeight="1">
      <c r="B803" s="22"/>
    </row>
    <row r="804" spans="2:2" ht="15.75" customHeight="1">
      <c r="B804" s="22"/>
    </row>
    <row r="805" spans="2:2" ht="15.75" customHeight="1">
      <c r="B805" s="22"/>
    </row>
    <row r="806" spans="2:2" ht="15.75" customHeight="1">
      <c r="B806" s="22"/>
    </row>
    <row r="807" spans="2:2" ht="15.75" customHeight="1">
      <c r="B807" s="22"/>
    </row>
    <row r="808" spans="2:2" ht="15.75" customHeight="1">
      <c r="B808" s="22"/>
    </row>
    <row r="809" spans="2:2" ht="15.75" customHeight="1">
      <c r="B809" s="22"/>
    </row>
    <row r="810" spans="2:2" ht="15.75" customHeight="1">
      <c r="B810" s="22"/>
    </row>
    <row r="811" spans="2:2" ht="15.75" customHeight="1">
      <c r="B811" s="22"/>
    </row>
    <row r="812" spans="2:2" ht="15.75" customHeight="1">
      <c r="B812" s="22"/>
    </row>
    <row r="813" spans="2:2" ht="15.75" customHeight="1">
      <c r="B813" s="22"/>
    </row>
    <row r="814" spans="2:2" ht="15.75" customHeight="1">
      <c r="B814" s="22"/>
    </row>
    <row r="815" spans="2:2" ht="15.75" customHeight="1">
      <c r="B815" s="22"/>
    </row>
    <row r="816" spans="2:2" ht="15.75" customHeight="1">
      <c r="B816" s="22"/>
    </row>
    <row r="817" spans="2:2" ht="15.75" customHeight="1">
      <c r="B817" s="22"/>
    </row>
    <row r="818" spans="2:2" ht="15.75" customHeight="1">
      <c r="B818" s="22"/>
    </row>
    <row r="819" spans="2:2" ht="15.75" customHeight="1">
      <c r="B819" s="22"/>
    </row>
    <row r="820" spans="2:2" ht="15.75" customHeight="1">
      <c r="B820" s="22"/>
    </row>
    <row r="821" spans="2:2" ht="15.75" customHeight="1">
      <c r="B821" s="22"/>
    </row>
    <row r="822" spans="2:2" ht="15.75" customHeight="1">
      <c r="B822" s="22"/>
    </row>
    <row r="823" spans="2:2" ht="15.75" customHeight="1">
      <c r="B823" s="22"/>
    </row>
    <row r="824" spans="2:2" ht="15.75" customHeight="1">
      <c r="B824" s="22"/>
    </row>
    <row r="825" spans="2:2" ht="15.75" customHeight="1">
      <c r="B825" s="22"/>
    </row>
    <row r="826" spans="2:2" ht="15.75" customHeight="1">
      <c r="B826" s="22"/>
    </row>
    <row r="827" spans="2:2" ht="15.75" customHeight="1">
      <c r="B827" s="22"/>
    </row>
    <row r="828" spans="2:2" ht="15.75" customHeight="1">
      <c r="B828" s="22"/>
    </row>
    <row r="829" spans="2:2" ht="15.75" customHeight="1">
      <c r="B829" s="22"/>
    </row>
    <row r="830" spans="2:2" ht="15.75" customHeight="1">
      <c r="B830" s="22"/>
    </row>
    <row r="831" spans="2:2" ht="15.75" customHeight="1">
      <c r="B831" s="22"/>
    </row>
    <row r="832" spans="2:2" ht="15.75" customHeight="1">
      <c r="B832" s="22"/>
    </row>
    <row r="833" spans="2:2" ht="15.75" customHeight="1">
      <c r="B833" s="22"/>
    </row>
    <row r="834" spans="2:2" ht="15.75" customHeight="1">
      <c r="B834" s="22"/>
    </row>
    <row r="835" spans="2:2" ht="15.75" customHeight="1">
      <c r="B835" s="22"/>
    </row>
    <row r="836" spans="2:2" ht="15.75" customHeight="1">
      <c r="B836" s="22"/>
    </row>
    <row r="837" spans="2:2" ht="15.75" customHeight="1">
      <c r="B837" s="22"/>
    </row>
    <row r="838" spans="2:2" ht="15.75" customHeight="1">
      <c r="B838" s="22"/>
    </row>
    <row r="839" spans="2:2" ht="15.75" customHeight="1">
      <c r="B839" s="22"/>
    </row>
    <row r="840" spans="2:2" ht="15.75" customHeight="1">
      <c r="B840" s="22"/>
    </row>
    <row r="841" spans="2:2" ht="15.75" customHeight="1">
      <c r="B841" s="22"/>
    </row>
    <row r="842" spans="2:2" ht="15.75" customHeight="1">
      <c r="B842" s="22"/>
    </row>
    <row r="843" spans="2:2" ht="15.75" customHeight="1">
      <c r="B843" s="22"/>
    </row>
    <row r="844" spans="2:2" ht="15.75" customHeight="1">
      <c r="B844" s="22"/>
    </row>
    <row r="845" spans="2:2" ht="15.75" customHeight="1">
      <c r="B845" s="22"/>
    </row>
    <row r="846" spans="2:2" ht="15.75" customHeight="1">
      <c r="B846" s="22"/>
    </row>
    <row r="847" spans="2:2" ht="15.75" customHeight="1">
      <c r="B847" s="22"/>
    </row>
    <row r="848" spans="2:2" ht="15.75" customHeight="1">
      <c r="B848" s="22"/>
    </row>
    <row r="849" spans="2:2" ht="15.75" customHeight="1">
      <c r="B849" s="22"/>
    </row>
    <row r="850" spans="2:2" ht="15.75" customHeight="1">
      <c r="B850" s="22"/>
    </row>
    <row r="851" spans="2:2" ht="15.75" customHeight="1">
      <c r="B851" s="22"/>
    </row>
    <row r="852" spans="2:2" ht="15.75" customHeight="1">
      <c r="B852" s="22"/>
    </row>
    <row r="853" spans="2:2" ht="15.75" customHeight="1">
      <c r="B853" s="22"/>
    </row>
    <row r="854" spans="2:2" ht="15.75" customHeight="1">
      <c r="B854" s="22"/>
    </row>
    <row r="855" spans="2:2" ht="15.75" customHeight="1">
      <c r="B855" s="22"/>
    </row>
    <row r="856" spans="2:2" ht="15.75" customHeight="1">
      <c r="B856" s="22"/>
    </row>
    <row r="857" spans="2:2" ht="15.75" customHeight="1">
      <c r="B857" s="22"/>
    </row>
    <row r="858" spans="2:2" ht="15.75" customHeight="1">
      <c r="B858" s="22"/>
    </row>
    <row r="859" spans="2:2" ht="15.75" customHeight="1">
      <c r="B859" s="22"/>
    </row>
    <row r="860" spans="2:2" ht="15.75" customHeight="1">
      <c r="B860" s="22"/>
    </row>
    <row r="861" spans="2:2" ht="15.75" customHeight="1">
      <c r="B861" s="22"/>
    </row>
    <row r="862" spans="2:2" ht="15.75" customHeight="1">
      <c r="B862" s="22"/>
    </row>
    <row r="863" spans="2:2" ht="15.75" customHeight="1">
      <c r="B863" s="22"/>
    </row>
    <row r="864" spans="2:2" ht="15.75" customHeight="1">
      <c r="B864" s="22"/>
    </row>
    <row r="865" spans="2:2" ht="15.75" customHeight="1">
      <c r="B865" s="22"/>
    </row>
    <row r="866" spans="2:2" ht="15.75" customHeight="1">
      <c r="B866" s="22"/>
    </row>
    <row r="867" spans="2:2" ht="15.75" customHeight="1">
      <c r="B867" s="22"/>
    </row>
    <row r="868" spans="2:2" ht="15.75" customHeight="1">
      <c r="B868" s="22"/>
    </row>
    <row r="869" spans="2:2" ht="15.75" customHeight="1">
      <c r="B869" s="22"/>
    </row>
    <row r="870" spans="2:2" ht="15.75" customHeight="1">
      <c r="B870" s="22"/>
    </row>
    <row r="871" spans="2:2" ht="15.75" customHeight="1">
      <c r="B871" s="22"/>
    </row>
    <row r="872" spans="2:2" ht="15.75" customHeight="1">
      <c r="B872" s="22"/>
    </row>
    <row r="873" spans="2:2" ht="15.75" customHeight="1">
      <c r="B873" s="22"/>
    </row>
    <row r="874" spans="2:2" ht="15.75" customHeight="1">
      <c r="B874" s="22"/>
    </row>
    <row r="875" spans="2:2" ht="15.75" customHeight="1">
      <c r="B875" s="22"/>
    </row>
    <row r="876" spans="2:2" ht="15.75" customHeight="1">
      <c r="B876" s="22"/>
    </row>
    <row r="877" spans="2:2" ht="15.75" customHeight="1">
      <c r="B877" s="22"/>
    </row>
    <row r="878" spans="2:2" ht="15.75" customHeight="1">
      <c r="B878" s="22"/>
    </row>
    <row r="879" spans="2:2" ht="15.75" customHeight="1">
      <c r="B879" s="22"/>
    </row>
    <row r="880" spans="2:2" ht="15.75" customHeight="1">
      <c r="B880" s="22"/>
    </row>
    <row r="881" spans="2:2" ht="15.75" customHeight="1">
      <c r="B881" s="22"/>
    </row>
    <row r="882" spans="2:2" ht="15.75" customHeight="1">
      <c r="B882" s="22"/>
    </row>
    <row r="883" spans="2:2" ht="15.75" customHeight="1">
      <c r="B883" s="22"/>
    </row>
    <row r="884" spans="2:2" ht="15.75" customHeight="1">
      <c r="B884" s="22"/>
    </row>
    <row r="885" spans="2:2" ht="15.75" customHeight="1">
      <c r="B885" s="22"/>
    </row>
    <row r="886" spans="2:2" ht="15.75" customHeight="1">
      <c r="B886" s="22"/>
    </row>
    <row r="887" spans="2:2" ht="15.75" customHeight="1">
      <c r="B887" s="22"/>
    </row>
    <row r="888" spans="2:2" ht="15.75" customHeight="1">
      <c r="B888" s="22"/>
    </row>
    <row r="889" spans="2:2" ht="15.75" customHeight="1">
      <c r="B889" s="22"/>
    </row>
    <row r="890" spans="2:2" ht="15.75" customHeight="1">
      <c r="B890" s="22"/>
    </row>
    <row r="891" spans="2:2" ht="15.75" customHeight="1">
      <c r="B891" s="22"/>
    </row>
    <row r="892" spans="2:2" ht="15.75" customHeight="1">
      <c r="B892" s="22"/>
    </row>
    <row r="893" spans="2:2" ht="15.75" customHeight="1">
      <c r="B893" s="22"/>
    </row>
    <row r="894" spans="2:2" ht="15.75" customHeight="1">
      <c r="B894" s="22"/>
    </row>
    <row r="895" spans="2:2" ht="15.75" customHeight="1">
      <c r="B895" s="22"/>
    </row>
    <row r="896" spans="2:2" ht="15.75" customHeight="1">
      <c r="B896" s="22"/>
    </row>
    <row r="897" spans="2:2" ht="15.75" customHeight="1">
      <c r="B897" s="22"/>
    </row>
    <row r="898" spans="2:2" ht="15.75" customHeight="1">
      <c r="B898" s="22"/>
    </row>
    <row r="899" spans="2:2" ht="15.75" customHeight="1">
      <c r="B899" s="22"/>
    </row>
    <row r="900" spans="2:2" ht="15.75" customHeight="1">
      <c r="B900" s="22"/>
    </row>
    <row r="901" spans="2:2" ht="15.75" customHeight="1">
      <c r="B901" s="22"/>
    </row>
    <row r="902" spans="2:2" ht="15.75" customHeight="1">
      <c r="B902" s="22"/>
    </row>
    <row r="903" spans="2:2" ht="15.75" customHeight="1">
      <c r="B903" s="22"/>
    </row>
    <row r="904" spans="2:2" ht="15.75" customHeight="1">
      <c r="B904" s="22"/>
    </row>
    <row r="905" spans="2:2" ht="15.75" customHeight="1">
      <c r="B905" s="22"/>
    </row>
    <row r="906" spans="2:2" ht="15.75" customHeight="1">
      <c r="B906" s="22"/>
    </row>
    <row r="907" spans="2:2" ht="15.75" customHeight="1">
      <c r="B907" s="22"/>
    </row>
    <row r="908" spans="2:2" ht="15.75" customHeight="1">
      <c r="B908" s="22"/>
    </row>
    <row r="909" spans="2:2" ht="15.75" customHeight="1">
      <c r="B909" s="22"/>
    </row>
    <row r="910" spans="2:2" ht="15.75" customHeight="1">
      <c r="B910" s="22"/>
    </row>
    <row r="911" spans="2:2" ht="15.75" customHeight="1">
      <c r="B911" s="22"/>
    </row>
    <row r="912" spans="2:2" ht="15.75" customHeight="1">
      <c r="B912" s="22"/>
    </row>
    <row r="913" spans="2:2" ht="15.75" customHeight="1">
      <c r="B913" s="22"/>
    </row>
    <row r="914" spans="2:2" ht="15.75" customHeight="1">
      <c r="B914" s="22"/>
    </row>
    <row r="915" spans="2:2" ht="15.75" customHeight="1">
      <c r="B915" s="22"/>
    </row>
    <row r="916" spans="2:2" ht="15.75" customHeight="1">
      <c r="B916" s="22"/>
    </row>
    <row r="917" spans="2:2" ht="15.75" customHeight="1">
      <c r="B917" s="22"/>
    </row>
    <row r="918" spans="2:2" ht="15.75" customHeight="1">
      <c r="B918" s="22"/>
    </row>
    <row r="919" spans="2:2" ht="15.75" customHeight="1">
      <c r="B919" s="22"/>
    </row>
    <row r="920" spans="2:2" ht="15.75" customHeight="1">
      <c r="B920" s="22"/>
    </row>
    <row r="921" spans="2:2" ht="15.75" customHeight="1">
      <c r="B921" s="22"/>
    </row>
    <row r="922" spans="2:2" ht="15.75" customHeight="1">
      <c r="B922" s="22"/>
    </row>
    <row r="923" spans="2:2" ht="15.75" customHeight="1">
      <c r="B923" s="22"/>
    </row>
    <row r="924" spans="2:2" ht="15.75" customHeight="1">
      <c r="B924" s="22"/>
    </row>
    <row r="925" spans="2:2" ht="15.75" customHeight="1">
      <c r="B925" s="22"/>
    </row>
    <row r="926" spans="2:2" ht="15.75" customHeight="1">
      <c r="B926" s="22"/>
    </row>
    <row r="927" spans="2:2" ht="15.75" customHeight="1">
      <c r="B927" s="22"/>
    </row>
    <row r="928" spans="2:2" ht="15.75" customHeight="1">
      <c r="B928" s="22"/>
    </row>
    <row r="929" spans="2:2" ht="15.75" customHeight="1">
      <c r="B929" s="22"/>
    </row>
    <row r="930" spans="2:2" ht="15.75" customHeight="1">
      <c r="B930" s="22"/>
    </row>
    <row r="931" spans="2:2" ht="15.75" customHeight="1">
      <c r="B931" s="22"/>
    </row>
    <row r="932" spans="2:2" ht="15.75" customHeight="1">
      <c r="B932" s="22"/>
    </row>
    <row r="933" spans="2:2" ht="15.75" customHeight="1">
      <c r="B933" s="22"/>
    </row>
    <row r="934" spans="2:2" ht="15.75" customHeight="1">
      <c r="B934" s="22"/>
    </row>
    <row r="935" spans="2:2" ht="15.75" customHeight="1">
      <c r="B935" s="22"/>
    </row>
    <row r="936" spans="2:2" ht="15.75" customHeight="1">
      <c r="B936" s="22"/>
    </row>
    <row r="937" spans="2:2" ht="15.75" customHeight="1">
      <c r="B937" s="22"/>
    </row>
    <row r="938" spans="2:2" ht="15.75" customHeight="1">
      <c r="B938" s="22"/>
    </row>
    <row r="939" spans="2:2" ht="15.75" customHeight="1">
      <c r="B939" s="22"/>
    </row>
    <row r="940" spans="2:2" ht="15.75" customHeight="1">
      <c r="B940" s="22"/>
    </row>
    <row r="941" spans="2:2" ht="15.75" customHeight="1">
      <c r="B941" s="22"/>
    </row>
    <row r="942" spans="2:2" ht="15.75" customHeight="1">
      <c r="B942" s="22"/>
    </row>
    <row r="943" spans="2:2" ht="15.75" customHeight="1">
      <c r="B943" s="22"/>
    </row>
    <row r="944" spans="2:2" ht="15.75" customHeight="1">
      <c r="B944" s="22"/>
    </row>
    <row r="945" spans="2:2" ht="15.75" customHeight="1">
      <c r="B945" s="22"/>
    </row>
    <row r="946" spans="2:2" ht="15.75" customHeight="1">
      <c r="B946" s="22"/>
    </row>
    <row r="947" spans="2:2" ht="15.75" customHeight="1">
      <c r="B947" s="22"/>
    </row>
    <row r="948" spans="2:2" ht="15.75" customHeight="1">
      <c r="B948" s="22"/>
    </row>
    <row r="949" spans="2:2" ht="15.75" customHeight="1">
      <c r="B949" s="22"/>
    </row>
    <row r="950" spans="2:2" ht="15.75" customHeight="1">
      <c r="B950" s="22"/>
    </row>
    <row r="951" spans="2:2" ht="15.75" customHeight="1">
      <c r="B951" s="22"/>
    </row>
    <row r="952" spans="2:2" ht="15.75" customHeight="1">
      <c r="B952" s="22"/>
    </row>
    <row r="953" spans="2:2" ht="15.75" customHeight="1">
      <c r="B953" s="22"/>
    </row>
    <row r="954" spans="2:2" ht="15.75" customHeight="1">
      <c r="B954" s="22"/>
    </row>
    <row r="955" spans="2:2" ht="15.75" customHeight="1">
      <c r="B955" s="22"/>
    </row>
    <row r="956" spans="2:2" ht="15.75" customHeight="1">
      <c r="B956" s="22"/>
    </row>
    <row r="957" spans="2:2" ht="15.75" customHeight="1">
      <c r="B957" s="22"/>
    </row>
    <row r="958" spans="2:2" ht="15.75" customHeight="1">
      <c r="B958" s="22"/>
    </row>
    <row r="959" spans="2:2" ht="15.75" customHeight="1">
      <c r="B959" s="22"/>
    </row>
    <row r="960" spans="2:2" ht="15.75" customHeight="1">
      <c r="B960" s="22"/>
    </row>
    <row r="961" spans="2:2" ht="15.75" customHeight="1">
      <c r="B961" s="22"/>
    </row>
    <row r="962" spans="2:2" ht="15.75" customHeight="1">
      <c r="B962" s="22"/>
    </row>
    <row r="963" spans="2:2" ht="15.75" customHeight="1">
      <c r="B963" s="22"/>
    </row>
    <row r="964" spans="2:2" ht="15.75" customHeight="1">
      <c r="B964" s="22"/>
    </row>
    <row r="965" spans="2:2" ht="15.75" customHeight="1">
      <c r="B965" s="22"/>
    </row>
    <row r="966" spans="2:2" ht="15.75" customHeight="1">
      <c r="B966" s="22"/>
    </row>
    <row r="967" spans="2:2" ht="15.75" customHeight="1">
      <c r="B967" s="22"/>
    </row>
    <row r="968" spans="2:2" ht="15.75" customHeight="1">
      <c r="B968" s="22"/>
    </row>
    <row r="969" spans="2:2" ht="15.75" customHeight="1">
      <c r="B969" s="22"/>
    </row>
    <row r="970" spans="2:2" ht="15.75" customHeight="1">
      <c r="B970" s="22"/>
    </row>
    <row r="971" spans="2:2" ht="15.75" customHeight="1">
      <c r="B971" s="22"/>
    </row>
    <row r="972" spans="2:2" ht="15.75" customHeight="1">
      <c r="B972" s="22"/>
    </row>
    <row r="973" spans="2:2" ht="15.75" customHeight="1">
      <c r="B973" s="22"/>
    </row>
    <row r="974" spans="2:2" ht="15.75" customHeight="1">
      <c r="B974" s="22"/>
    </row>
    <row r="975" spans="2:2" ht="15.75" customHeight="1">
      <c r="B975" s="22"/>
    </row>
    <row r="976" spans="2:2" ht="15.75" customHeight="1">
      <c r="B976" s="22"/>
    </row>
    <row r="977" spans="2:2" ht="15.75" customHeight="1">
      <c r="B977" s="22"/>
    </row>
    <row r="978" spans="2:2" ht="15.75" customHeight="1">
      <c r="B978" s="22"/>
    </row>
    <row r="979" spans="2:2" ht="15.75" customHeight="1">
      <c r="B979" s="22"/>
    </row>
    <row r="980" spans="2:2" ht="15.75" customHeight="1">
      <c r="B980" s="22"/>
    </row>
    <row r="981" spans="2:2" ht="15.75" customHeight="1">
      <c r="B981" s="22"/>
    </row>
    <row r="982" spans="2:2" ht="15.75" customHeight="1">
      <c r="B982" s="22"/>
    </row>
    <row r="983" spans="2:2" ht="15.75" customHeight="1">
      <c r="B983" s="22"/>
    </row>
    <row r="984" spans="2:2" ht="15.75" customHeight="1">
      <c r="B984" s="22"/>
    </row>
    <row r="985" spans="2:2" ht="15.75" customHeight="1">
      <c r="B985" s="22"/>
    </row>
    <row r="986" spans="2:2" ht="15.75" customHeight="1">
      <c r="B986" s="22"/>
    </row>
    <row r="987" spans="2:2" ht="15.75" customHeight="1">
      <c r="B987" s="22"/>
    </row>
    <row r="988" spans="2:2" ht="15.75" customHeight="1">
      <c r="B988" s="22"/>
    </row>
    <row r="989" spans="2:2" ht="15.75" customHeight="1">
      <c r="B989" s="22"/>
    </row>
    <row r="990" spans="2:2" ht="15.75" customHeight="1">
      <c r="B990" s="22"/>
    </row>
    <row r="991" spans="2:2" ht="15.75" customHeight="1">
      <c r="B991" s="22"/>
    </row>
    <row r="992" spans="2:2" ht="15.75" customHeight="1">
      <c r="B992" s="22"/>
    </row>
    <row r="993" spans="2:2" ht="15.75" customHeight="1">
      <c r="B993" s="22"/>
    </row>
    <row r="994" spans="2:2" ht="15.75" customHeight="1">
      <c r="B994" s="22"/>
    </row>
    <row r="995" spans="2:2" ht="15.75" customHeight="1">
      <c r="B995" s="22"/>
    </row>
    <row r="996" spans="2:2" ht="15.75" customHeight="1">
      <c r="B996" s="22"/>
    </row>
    <row r="997" spans="2:2" ht="15.75" customHeight="1">
      <c r="B997" s="22"/>
    </row>
    <row r="998" spans="2:2" ht="15.75" customHeight="1">
      <c r="B998" s="22"/>
    </row>
    <row r="999" spans="2:2" ht="15.75" customHeight="1">
      <c r="B999" s="22"/>
    </row>
    <row r="1000" spans="2:2" ht="15.75" customHeight="1">
      <c r="B1000" s="22"/>
    </row>
    <row r="1001" spans="2:2" ht="15.75" customHeight="1">
      <c r="B1001" s="22"/>
    </row>
  </sheetData>
  <autoFilter ref="A1:AB26" xr:uid="{00000000-0001-0000-0900-000000000000}"/>
  <mergeCells count="19">
    <mergeCell ref="D15:D17"/>
    <mergeCell ref="F15:F17"/>
    <mergeCell ref="G15:G17"/>
    <mergeCell ref="H15:H17"/>
    <mergeCell ref="K15:K17"/>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s>
  <dataValidations count="5">
    <dataValidation type="list" allowBlank="1" showErrorMessage="1" sqref="K2:K13" xr:uid="{00000000-0002-0000-0900-000000000000}">
      <formula1>$I$1:$I$127</formula1>
    </dataValidation>
    <dataValidation type="list" allowBlank="1" showErrorMessage="1" sqref="L2:L13" xr:uid="{00000000-0002-0000-0900-000001000000}">
      <formula1>$K$1:$K$7</formula1>
    </dataValidation>
    <dataValidation type="list" allowBlank="1" showErrorMessage="1" sqref="M2:M13" xr:uid="{00000000-0002-0000-0900-000002000000}">
      <formula1>$J$1:$J$127</formula1>
    </dataValidation>
    <dataValidation type="list" allowBlank="1" showErrorMessage="1" sqref="H2:J13" xr:uid="{00000000-0002-0000-0900-000003000000}">
      <formula1>$H$1:$H$127</formula1>
    </dataValidation>
    <dataValidation type="list" allowBlank="1" showErrorMessage="1" sqref="F2:G13" xr:uid="{00000000-0002-0000-0900-000004000000}">
      <formula1>$F$1:$F$16</formula1>
    </dataValidation>
  </dataValidations>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0" r:id="rId9" xr:uid="{00000000-0004-0000-0900-000008000000}"/>
    <hyperlink ref="B11" r:id="rId10" xr:uid="{00000000-0004-0000-0900-000009000000}"/>
    <hyperlink ref="B12" r:id="rId11" xr:uid="{00000000-0004-0000-0900-00000A000000}"/>
    <hyperlink ref="B13" r:id="rId12" xr:uid="{00000000-0004-0000-0900-00000B000000}"/>
    <hyperlink ref="B14" r:id="rId13" xr:uid="{00000000-0004-0000-0900-00000C000000}"/>
    <hyperlink ref="B15" r:id="rId14" xr:uid="{00000000-0004-0000-0900-00000D000000}"/>
    <hyperlink ref="B16" r:id="rId15" xr:uid="{00000000-0004-0000-0900-00000E000000}"/>
    <hyperlink ref="B17" r:id="rId16" xr:uid="{00000000-0004-0000-0900-00000F000000}"/>
    <hyperlink ref="B18" r:id="rId17" xr:uid="{00000000-0004-0000-0900-000010000000}"/>
    <hyperlink ref="B19" r:id="rId18" xr:uid="{00000000-0004-0000-0900-000011000000}"/>
    <hyperlink ref="B21" r:id="rId19" xr:uid="{00000000-0004-0000-0900-000012000000}"/>
    <hyperlink ref="E21" r:id="rId20" xr:uid="{00000000-0004-0000-0900-000013000000}"/>
    <hyperlink ref="B22" r:id="rId21" xr:uid="{00000000-0004-0000-0900-000014000000}"/>
    <hyperlink ref="B23" r:id="rId22" xr:uid="{00000000-0004-0000-0900-000015000000}"/>
    <hyperlink ref="B24" r:id="rId23" xr:uid="{00000000-0004-0000-0900-000016000000}"/>
    <hyperlink ref="B25" r:id="rId24" xr:uid="{715FE5C4-F7B7-4F96-BFF3-C469BF3B162C}"/>
    <hyperlink ref="B26" r:id="rId25" xr:uid="{F4BF5FDD-1F39-4452-8158-6DAEA18D305E}"/>
    <hyperlink ref="B20" r:id="rId26" xr:uid="{E8BDC672-6232-4760-9789-FF26C0F8BA72}"/>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workbookViewId="0">
      <selection sqref="A1:XFD1"/>
    </sheetView>
  </sheetViews>
  <sheetFormatPr defaultColWidth="9.109375" defaultRowHeight="14.4"/>
  <cols>
    <col min="1" max="1" width="9.109375" style="17"/>
    <col min="2" max="2" width="68.44140625" style="18" customWidth="1"/>
    <col min="3" max="3" width="18" style="18" customWidth="1"/>
    <col min="4" max="16384" width="9.109375" style="18"/>
  </cols>
  <sheetData>
    <row r="1" spans="1:3" s="493" customFormat="1">
      <c r="A1" s="498" t="s">
        <v>1476</v>
      </c>
      <c r="B1" s="498" t="s">
        <v>3527</v>
      </c>
      <c r="C1" s="498" t="s">
        <v>2</v>
      </c>
    </row>
    <row r="2" spans="1:3">
      <c r="A2" s="328">
        <v>1</v>
      </c>
      <c r="B2" s="147" t="s">
        <v>4723</v>
      </c>
      <c r="C2" s="462">
        <v>43867</v>
      </c>
    </row>
    <row r="3" spans="1:3" ht="28.8">
      <c r="A3" s="328">
        <v>2</v>
      </c>
      <c r="B3" s="147" t="s">
        <v>4724</v>
      </c>
      <c r="C3" s="462">
        <v>43531</v>
      </c>
    </row>
    <row r="4" spans="1:3">
      <c r="A4" s="328">
        <v>3</v>
      </c>
      <c r="B4" s="147" t="s">
        <v>4725</v>
      </c>
      <c r="C4" s="462">
        <v>43867</v>
      </c>
    </row>
    <row r="5" spans="1:3">
      <c r="A5" s="328">
        <v>4</v>
      </c>
      <c r="B5" s="147" t="s">
        <v>4726</v>
      </c>
      <c r="C5" s="462">
        <v>43691</v>
      </c>
    </row>
    <row r="6" spans="1:3">
      <c r="A6" s="328">
        <v>5</v>
      </c>
      <c r="B6" s="147" t="s">
        <v>4727</v>
      </c>
      <c r="C6" s="462">
        <v>44084</v>
      </c>
    </row>
    <row r="7" spans="1:3">
      <c r="A7" s="328">
        <v>6</v>
      </c>
      <c r="B7" s="147" t="s">
        <v>4728</v>
      </c>
      <c r="C7" s="462">
        <v>44412</v>
      </c>
    </row>
    <row r="8" spans="1:3" ht="28.8">
      <c r="A8" s="328">
        <v>7</v>
      </c>
      <c r="B8" s="147" t="s">
        <v>4729</v>
      </c>
      <c r="C8" s="462">
        <v>43902</v>
      </c>
    </row>
    <row r="9" spans="1:3">
      <c r="A9" s="328">
        <v>8</v>
      </c>
      <c r="B9" s="147" t="s">
        <v>4730</v>
      </c>
      <c r="C9" s="462">
        <v>44013</v>
      </c>
    </row>
    <row r="10" spans="1:3" ht="28.8">
      <c r="A10" s="328">
        <v>9</v>
      </c>
      <c r="B10" s="147" t="s">
        <v>4731</v>
      </c>
      <c r="C10" s="462">
        <v>44144</v>
      </c>
    </row>
    <row r="11" spans="1:3">
      <c r="A11" s="328">
        <v>10</v>
      </c>
      <c r="B11" s="147" t="s">
        <v>4732</v>
      </c>
      <c r="C11" s="462">
        <v>44412</v>
      </c>
    </row>
    <row r="12" spans="1:3">
      <c r="A12" s="328">
        <v>11</v>
      </c>
      <c r="B12" s="147" t="s">
        <v>4733</v>
      </c>
      <c r="C12" s="462">
        <v>44412</v>
      </c>
    </row>
    <row r="13" spans="1:3">
      <c r="A13" s="328">
        <v>12</v>
      </c>
      <c r="B13" s="147" t="s">
        <v>3274</v>
      </c>
      <c r="C13" s="462">
        <v>44412</v>
      </c>
    </row>
    <row r="14" spans="1:3">
      <c r="A14" s="328">
        <v>13</v>
      </c>
      <c r="B14" s="147" t="s">
        <v>3276</v>
      </c>
      <c r="C14" s="462">
        <v>44412</v>
      </c>
    </row>
    <row r="15" spans="1:3">
      <c r="A15" s="328">
        <v>14</v>
      </c>
      <c r="B15" s="147" t="s">
        <v>4734</v>
      </c>
      <c r="C15" s="462">
        <v>44412</v>
      </c>
    </row>
    <row r="16" spans="1:3">
      <c r="A16" s="328">
        <v>15</v>
      </c>
      <c r="B16" s="147" t="s">
        <v>3294</v>
      </c>
      <c r="C16" s="462">
        <v>44412</v>
      </c>
    </row>
    <row r="17" spans="1:3">
      <c r="A17" s="328">
        <v>16</v>
      </c>
      <c r="B17" s="147" t="s">
        <v>4735</v>
      </c>
      <c r="C17" s="462">
        <v>44412</v>
      </c>
    </row>
    <row r="18" spans="1:3">
      <c r="A18" s="328">
        <v>17</v>
      </c>
      <c r="B18" s="147" t="s">
        <v>4736</v>
      </c>
      <c r="C18" s="462">
        <v>44412</v>
      </c>
    </row>
    <row r="19" spans="1:3">
      <c r="A19" s="328">
        <v>18</v>
      </c>
      <c r="B19" s="147" t="s">
        <v>3292</v>
      </c>
      <c r="C19" s="462">
        <v>44412</v>
      </c>
    </row>
    <row r="20" spans="1:3">
      <c r="A20" s="328">
        <v>19</v>
      </c>
      <c r="B20" s="147" t="s">
        <v>4737</v>
      </c>
      <c r="C20" s="462">
        <v>44412</v>
      </c>
    </row>
    <row r="21" spans="1:3" ht="28.8">
      <c r="A21" s="328">
        <v>20</v>
      </c>
      <c r="B21" s="147" t="s">
        <v>3290</v>
      </c>
      <c r="C21" s="462">
        <v>44412</v>
      </c>
    </row>
    <row r="22" spans="1:3">
      <c r="A22" s="328">
        <v>21</v>
      </c>
      <c r="B22" s="148" t="s">
        <v>4738</v>
      </c>
      <c r="C22" s="462">
        <v>44767</v>
      </c>
    </row>
    <row r="23" spans="1:3">
      <c r="A23" s="328">
        <v>22</v>
      </c>
      <c r="B23" s="148" t="s">
        <v>4739</v>
      </c>
      <c r="C23" s="462">
        <v>44768</v>
      </c>
    </row>
    <row r="24" spans="1:3">
      <c r="A24" s="328">
        <v>23</v>
      </c>
      <c r="B24" s="148" t="s">
        <v>4740</v>
      </c>
      <c r="C24" s="462">
        <v>44768</v>
      </c>
    </row>
    <row r="25" spans="1:3">
      <c r="A25" s="328">
        <v>24</v>
      </c>
      <c r="B25" s="148" t="s">
        <v>4741</v>
      </c>
      <c r="C25" s="462">
        <v>44769</v>
      </c>
    </row>
    <row r="26" spans="1:3">
      <c r="A26" s="328">
        <v>25</v>
      </c>
      <c r="B26" s="148" t="s">
        <v>4742</v>
      </c>
      <c r="C26" s="462">
        <v>44770</v>
      </c>
    </row>
    <row r="27" spans="1:3">
      <c r="A27" s="328">
        <v>26</v>
      </c>
      <c r="B27" s="148" t="s">
        <v>4743</v>
      </c>
      <c r="C27" s="462">
        <v>44770</v>
      </c>
    </row>
  </sheetData>
  <autoFilter ref="A1:C27" xr:uid="{00000000-0001-0000-0A00-000000000000}"/>
  <hyperlinks>
    <hyperlink ref="B2" r:id="rId1" xr:uid="{00000000-0004-0000-0A00-000000000000}"/>
    <hyperlink ref="B3" r:id="rId2" xr:uid="{00000000-0004-0000-0A00-000001000000}"/>
    <hyperlink ref="B4" r:id="rId3" xr:uid="{00000000-0004-0000-0A00-000002000000}"/>
    <hyperlink ref="B5" r:id="rId4" xr:uid="{00000000-0004-0000-0A00-000003000000}"/>
    <hyperlink ref="B6" r:id="rId5" xr:uid="{00000000-0004-0000-0A00-000004000000}"/>
    <hyperlink ref="B7" r:id="rId6" xr:uid="{00000000-0004-0000-0A00-000005000000}"/>
    <hyperlink ref="B8" r:id="rId7" xr:uid="{00000000-0004-0000-0A00-000006000000}"/>
    <hyperlink ref="B9" r:id="rId8" xr:uid="{00000000-0004-0000-0A00-000007000000}"/>
    <hyperlink ref="B11" r:id="rId9" xr:uid="{00000000-0004-0000-0A00-000008000000}"/>
    <hyperlink ref="B12" r:id="rId10" xr:uid="{00000000-0004-0000-0A00-000009000000}"/>
    <hyperlink ref="B13" r:id="rId11" xr:uid="{00000000-0004-0000-0A00-00000A000000}"/>
    <hyperlink ref="B14" r:id="rId12" xr:uid="{00000000-0004-0000-0A00-00000B000000}"/>
    <hyperlink ref="B15" r:id="rId13" xr:uid="{00000000-0004-0000-0A00-00000C000000}"/>
    <hyperlink ref="B16" r:id="rId14" xr:uid="{00000000-0004-0000-0A00-00000D000000}"/>
    <hyperlink ref="B17" r:id="rId15" xr:uid="{00000000-0004-0000-0A00-00000E000000}"/>
    <hyperlink ref="B18" r:id="rId16" xr:uid="{00000000-0004-0000-0A00-00000F000000}"/>
    <hyperlink ref="B19" r:id="rId17" xr:uid="{00000000-0004-0000-0A00-000010000000}"/>
    <hyperlink ref="B20" r:id="rId18" xr:uid="{00000000-0004-0000-0A00-000011000000}"/>
    <hyperlink ref="B21" r:id="rId19" xr:uid="{00000000-0004-0000-0A00-000012000000}"/>
    <hyperlink ref="B10" r:id="rId20" xr:uid="{00000000-0004-0000-0A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1"/>
  <sheetViews>
    <sheetView workbookViewId="0">
      <pane ySplit="1" topLeftCell="A2" activePane="bottomLeft" state="frozen"/>
      <selection pane="bottomLeft" activeCell="E2" sqref="E2"/>
    </sheetView>
  </sheetViews>
  <sheetFormatPr defaultColWidth="14.44140625" defaultRowHeight="15" customHeight="1"/>
  <cols>
    <col min="1" max="1" width="8.44140625" style="156" customWidth="1"/>
    <col min="2" max="2" width="58.44140625" style="156" customWidth="1"/>
    <col min="3" max="3" width="13.44140625" style="156" customWidth="1"/>
    <col min="4" max="4" width="93.21875" style="156" customWidth="1"/>
    <col min="5" max="5" width="42" style="156" customWidth="1"/>
    <col min="6" max="14" width="9.109375" style="156" hidden="1" customWidth="1"/>
    <col min="15" max="15" width="17.88671875" style="156" bestFit="1" customWidth="1"/>
    <col min="16" max="16" width="10.6640625" style="156" bestFit="1" customWidth="1"/>
    <col min="17" max="17" width="9" style="156" bestFit="1" customWidth="1"/>
    <col min="18" max="16384" width="14.44140625" style="156"/>
  </cols>
  <sheetData>
    <row r="1" spans="1:17" s="475" customFormat="1" ht="34.799999999999997" customHeight="1">
      <c r="A1" s="491" t="s">
        <v>1476</v>
      </c>
      <c r="B1" s="491" t="s">
        <v>4744</v>
      </c>
      <c r="C1" s="491" t="s">
        <v>2</v>
      </c>
      <c r="D1" s="491" t="s">
        <v>3</v>
      </c>
      <c r="E1" s="491" t="s">
        <v>4</v>
      </c>
      <c r="F1" s="510" t="s">
        <v>4599</v>
      </c>
      <c r="G1" s="510" t="s">
        <v>4600</v>
      </c>
      <c r="H1" s="510" t="s">
        <v>4601</v>
      </c>
      <c r="I1" s="510" t="s">
        <v>4601</v>
      </c>
      <c r="J1" s="510" t="s">
        <v>4601</v>
      </c>
      <c r="K1" s="510" t="s">
        <v>4602</v>
      </c>
      <c r="L1" s="510" t="s">
        <v>4603</v>
      </c>
      <c r="M1" s="510" t="s">
        <v>4604</v>
      </c>
      <c r="N1" s="510"/>
      <c r="O1" s="511"/>
      <c r="P1" s="511"/>
      <c r="Q1" s="511"/>
    </row>
    <row r="2" spans="1:17" ht="172.8">
      <c r="A2" s="463">
        <v>1</v>
      </c>
      <c r="B2" s="2" t="str">
        <f>HYPERLINK("https://www.microsave.net/2013/04/25/watercredit-market-assessments-in-uganda-kenya-indonesia-and-india/","WaterCredit Market Assessments in Uganda, Kenya, Indonesia and India")</f>
        <v>WaterCredit Market Assessments in Uganda, Kenya, Indonesia and India</v>
      </c>
      <c r="C2" s="420">
        <v>41389</v>
      </c>
      <c r="D2" s="113" t="s">
        <v>4745</v>
      </c>
      <c r="E2" s="15" t="s">
        <v>4746</v>
      </c>
      <c r="F2" s="5" t="s">
        <v>4747</v>
      </c>
      <c r="G2" s="5" t="s">
        <v>4748</v>
      </c>
      <c r="H2" s="5" t="s">
        <v>4749</v>
      </c>
      <c r="I2" s="5" t="s">
        <v>4750</v>
      </c>
      <c r="J2" s="5" t="s">
        <v>4751</v>
      </c>
      <c r="K2" s="33" t="s">
        <v>4752</v>
      </c>
      <c r="L2" s="33" t="s">
        <v>4753</v>
      </c>
      <c r="M2" s="5" t="s">
        <v>4746</v>
      </c>
      <c r="O2" s="157" t="s">
        <v>4754</v>
      </c>
    </row>
    <row r="3" spans="1:17" ht="230.4">
      <c r="A3" s="464">
        <v>2</v>
      </c>
      <c r="B3" s="12" t="s">
        <v>4755</v>
      </c>
      <c r="C3" s="465">
        <v>41389</v>
      </c>
      <c r="D3" s="349" t="s">
        <v>4756</v>
      </c>
      <c r="E3" s="433" t="s">
        <v>4746</v>
      </c>
      <c r="F3" s="466" t="s">
        <v>4747</v>
      </c>
      <c r="G3" s="466" t="s">
        <v>4748</v>
      </c>
      <c r="H3" s="466" t="s">
        <v>4749</v>
      </c>
      <c r="I3" s="466" t="s">
        <v>4750</v>
      </c>
      <c r="J3" s="466" t="s">
        <v>4751</v>
      </c>
      <c r="K3" s="467" t="s">
        <v>4752</v>
      </c>
      <c r="L3" s="467" t="s">
        <v>4753</v>
      </c>
      <c r="M3" s="466" t="s">
        <v>4746</v>
      </c>
      <c r="N3" s="158"/>
      <c r="O3" s="159" t="s">
        <v>4754</v>
      </c>
      <c r="P3" s="158"/>
      <c r="Q3" s="158"/>
    </row>
    <row r="4" spans="1:17" ht="216">
      <c r="A4" s="464">
        <v>3</v>
      </c>
      <c r="B4" s="12" t="s">
        <v>4757</v>
      </c>
      <c r="C4" s="465">
        <v>41389</v>
      </c>
      <c r="D4" s="349" t="s">
        <v>4758</v>
      </c>
      <c r="E4" s="433" t="s">
        <v>4746</v>
      </c>
      <c r="F4" s="466" t="s">
        <v>4747</v>
      </c>
      <c r="G4" s="466" t="s">
        <v>4748</v>
      </c>
      <c r="H4" s="466" t="s">
        <v>4749</v>
      </c>
      <c r="I4" s="466" t="s">
        <v>4750</v>
      </c>
      <c r="J4" s="466" t="s">
        <v>4751</v>
      </c>
      <c r="K4" s="466" t="s">
        <v>4663</v>
      </c>
      <c r="L4" s="466" t="s">
        <v>4759</v>
      </c>
      <c r="M4" s="466" t="s">
        <v>4746</v>
      </c>
      <c r="N4" s="158"/>
      <c r="O4" s="159" t="s">
        <v>4754</v>
      </c>
      <c r="P4" s="158"/>
      <c r="Q4" s="158"/>
    </row>
    <row r="5" spans="1:17" ht="244.8">
      <c r="A5" s="464">
        <v>4</v>
      </c>
      <c r="B5" s="12" t="s">
        <v>4760</v>
      </c>
      <c r="C5" s="465">
        <v>41389</v>
      </c>
      <c r="D5" s="349" t="s">
        <v>4761</v>
      </c>
      <c r="E5" s="433" t="s">
        <v>4746</v>
      </c>
      <c r="F5" s="466" t="s">
        <v>4747</v>
      </c>
      <c r="G5" s="466" t="s">
        <v>4748</v>
      </c>
      <c r="H5" s="466" t="s">
        <v>4749</v>
      </c>
      <c r="I5" s="466" t="s">
        <v>4750</v>
      </c>
      <c r="J5" s="466" t="s">
        <v>4751</v>
      </c>
      <c r="K5" s="466" t="s">
        <v>4762</v>
      </c>
      <c r="L5" s="466" t="s">
        <v>4763</v>
      </c>
      <c r="M5" s="466" t="s">
        <v>4746</v>
      </c>
      <c r="N5" s="158"/>
      <c r="O5" s="159" t="s">
        <v>4754</v>
      </c>
      <c r="P5" s="158"/>
      <c r="Q5" s="158"/>
    </row>
    <row r="6" spans="1:17" ht="14.4">
      <c r="A6" s="15">
        <v>5</v>
      </c>
      <c r="B6" s="8" t="str">
        <f>HYPERLINK("https://www.microsave.net/2014/09/15/the-landscape-of-microinsurance-in-asia-and-oceania-2013/","The Landscape of Microinsurance in Asia and Oceania 2013")</f>
        <v>The Landscape of Microinsurance in Asia and Oceania 2013</v>
      </c>
      <c r="C6" s="420">
        <v>41897</v>
      </c>
      <c r="D6" s="15" t="s">
        <v>4764</v>
      </c>
      <c r="E6" s="15" t="s">
        <v>4765</v>
      </c>
      <c r="F6" s="5"/>
      <c r="G6" s="5"/>
      <c r="H6" s="5"/>
      <c r="I6" s="5"/>
      <c r="J6" s="5"/>
      <c r="K6" s="5"/>
      <c r="L6" s="5"/>
      <c r="M6" s="5"/>
    </row>
    <row r="7" spans="1:17" ht="100.8">
      <c r="A7" s="113">
        <v>6</v>
      </c>
      <c r="B7" s="2" t="str">
        <f>HYPERLINK("https://www.microsave.net/2014/09/29/designing-and-delivering-agriculture-financing-products/","Designing and Delivering Agriculture Financing Products")</f>
        <v>Designing and Delivering Agriculture Financing Products</v>
      </c>
      <c r="C7" s="348">
        <v>41911</v>
      </c>
      <c r="D7" s="113" t="s">
        <v>4766</v>
      </c>
      <c r="E7" s="113" t="s">
        <v>4767</v>
      </c>
      <c r="F7" s="5"/>
      <c r="G7" s="5"/>
      <c r="H7" s="5"/>
      <c r="I7" s="5"/>
      <c r="J7" s="5"/>
      <c r="K7" s="5"/>
      <c r="L7" s="5"/>
      <c r="M7" s="5"/>
    </row>
    <row r="8" spans="1:17" ht="144">
      <c r="A8" s="15">
        <v>7</v>
      </c>
      <c r="B8" s="8" t="str">
        <f>HYPERLINK("https://www.microsave.net/2017/07/24/bundling-to-make-agriculture-insurance-work/","Bundling to Make Agriculture Insurance Work")</f>
        <v>Bundling to Make Agriculture Insurance Work</v>
      </c>
      <c r="C8" s="420">
        <v>42940</v>
      </c>
      <c r="D8" s="113" t="s">
        <v>4768</v>
      </c>
      <c r="E8" s="113" t="s">
        <v>4769</v>
      </c>
      <c r="F8" s="5"/>
      <c r="G8" s="5"/>
      <c r="H8" s="5"/>
      <c r="I8" s="5"/>
      <c r="J8" s="5"/>
      <c r="K8" s="5"/>
      <c r="L8" s="5"/>
      <c r="M8" s="5"/>
    </row>
    <row r="9" spans="1:17" ht="43.2">
      <c r="A9" s="15">
        <v>8</v>
      </c>
      <c r="B9" s="418" t="s">
        <v>4770</v>
      </c>
      <c r="C9" s="413">
        <f>DATE(2018,11,8)</f>
        <v>43412</v>
      </c>
      <c r="D9" s="113" t="s">
        <v>4771</v>
      </c>
      <c r="E9" s="15" t="s">
        <v>4772</v>
      </c>
      <c r="F9" s="5"/>
      <c r="G9" s="5"/>
      <c r="H9" s="5"/>
      <c r="I9" s="5"/>
      <c r="J9" s="5"/>
      <c r="K9" s="5"/>
      <c r="L9" s="5"/>
      <c r="M9" s="5"/>
    </row>
    <row r="10" spans="1:17" ht="57.6">
      <c r="A10" s="15">
        <v>9</v>
      </c>
      <c r="B10" s="15" t="s">
        <v>928</v>
      </c>
      <c r="C10" s="413">
        <f>DATE(2021,11,23)</f>
        <v>44523</v>
      </c>
      <c r="D10" s="113" t="s">
        <v>4773</v>
      </c>
      <c r="E10" s="113" t="s">
        <v>4885</v>
      </c>
      <c r="F10" s="5"/>
      <c r="G10" s="5"/>
      <c r="H10" s="5"/>
      <c r="I10" s="5"/>
      <c r="J10" s="5"/>
      <c r="K10" s="5"/>
      <c r="L10" s="5"/>
      <c r="M10" s="5"/>
    </row>
    <row r="11" spans="1:17" ht="14.4">
      <c r="A11" s="453">
        <v>10</v>
      </c>
      <c r="B11" s="184" t="s">
        <v>941</v>
      </c>
      <c r="C11" s="413">
        <f>DATE(2022,5,16)</f>
        <v>44697</v>
      </c>
      <c r="D11" s="383"/>
      <c r="E11" s="335" t="s">
        <v>4888</v>
      </c>
      <c r="F11" s="5"/>
      <c r="G11" s="5"/>
      <c r="H11" s="5"/>
      <c r="I11" s="5"/>
      <c r="J11" s="5"/>
      <c r="K11" s="5"/>
      <c r="L11" s="5"/>
      <c r="M11" s="5"/>
    </row>
    <row r="12" spans="1:17" ht="57.6">
      <c r="A12" s="468">
        <v>11</v>
      </c>
      <c r="B12" s="147" t="s">
        <v>4774</v>
      </c>
      <c r="C12" s="469">
        <f>DATE(2026,5,31)</f>
        <v>46173</v>
      </c>
      <c r="D12" s="113" t="s">
        <v>4775</v>
      </c>
      <c r="E12" s="113" t="s">
        <v>4776</v>
      </c>
      <c r="F12" s="5"/>
      <c r="G12" s="5"/>
      <c r="H12" s="5"/>
      <c r="I12" s="5"/>
      <c r="J12" s="5"/>
      <c r="K12" s="5"/>
      <c r="L12" s="5"/>
      <c r="M12" s="5"/>
    </row>
    <row r="13" spans="1:17" ht="33.75" customHeight="1">
      <c r="A13" s="153"/>
      <c r="B13" s="177"/>
      <c r="C13" s="153"/>
      <c r="D13" s="153"/>
      <c r="E13" s="153"/>
    </row>
    <row r="14" spans="1:17" ht="33.75" customHeight="1">
      <c r="A14" s="153"/>
      <c r="B14" s="155"/>
      <c r="C14" s="153"/>
      <c r="D14" s="153"/>
      <c r="E14" s="153"/>
    </row>
    <row r="15" spans="1:17" ht="33.75" customHeight="1">
      <c r="B15" s="160"/>
    </row>
    <row r="16" spans="1:17" ht="33.75" customHeight="1">
      <c r="B16" s="160"/>
    </row>
    <row r="17" spans="2:2" ht="33.75" customHeight="1">
      <c r="B17" s="160"/>
    </row>
    <row r="18" spans="2:2" ht="33.75" customHeight="1">
      <c r="B18" s="160"/>
    </row>
    <row r="19" spans="2:2" ht="33.75" customHeight="1">
      <c r="B19" s="160"/>
    </row>
    <row r="20" spans="2:2" ht="33.75" customHeight="1">
      <c r="B20" s="160"/>
    </row>
    <row r="21" spans="2:2" ht="33.75" customHeight="1">
      <c r="B21" s="160"/>
    </row>
    <row r="22" spans="2:2" ht="33.75" customHeight="1">
      <c r="B22" s="160"/>
    </row>
    <row r="23" spans="2:2" ht="33.75" customHeight="1">
      <c r="B23" s="160"/>
    </row>
    <row r="24" spans="2:2" ht="33.75" customHeight="1">
      <c r="B24" s="160"/>
    </row>
    <row r="25" spans="2:2" ht="33.75" customHeight="1">
      <c r="B25" s="160"/>
    </row>
    <row r="26" spans="2:2" ht="33.75" customHeight="1">
      <c r="B26" s="160"/>
    </row>
    <row r="27" spans="2:2" ht="33.75" customHeight="1">
      <c r="B27" s="160"/>
    </row>
    <row r="28" spans="2:2" ht="33.75" customHeight="1">
      <c r="B28" s="160"/>
    </row>
    <row r="29" spans="2:2" ht="33.75" customHeight="1">
      <c r="B29" s="160"/>
    </row>
    <row r="30" spans="2:2" ht="33.75" customHeight="1">
      <c r="B30" s="160"/>
    </row>
    <row r="31" spans="2:2" ht="33.75" customHeight="1">
      <c r="B31" s="160"/>
    </row>
    <row r="32" spans="2:2" ht="33.75" customHeight="1">
      <c r="B32" s="160"/>
    </row>
    <row r="33" spans="2:2" ht="33.75" customHeight="1">
      <c r="B33" s="160"/>
    </row>
    <row r="34" spans="2:2" ht="33.75" customHeight="1">
      <c r="B34" s="160"/>
    </row>
    <row r="35" spans="2:2" ht="33.75" customHeight="1">
      <c r="B35" s="160"/>
    </row>
    <row r="36" spans="2:2" ht="33.75" customHeight="1">
      <c r="B36" s="160"/>
    </row>
    <row r="37" spans="2:2" ht="33.75" customHeight="1">
      <c r="B37" s="160"/>
    </row>
    <row r="38" spans="2:2" ht="33.75" customHeight="1">
      <c r="B38" s="160"/>
    </row>
    <row r="39" spans="2:2" ht="33.75" customHeight="1">
      <c r="B39" s="160"/>
    </row>
    <row r="40" spans="2:2" ht="33.75" customHeight="1">
      <c r="B40" s="160"/>
    </row>
    <row r="41" spans="2:2" ht="33.75" customHeight="1">
      <c r="B41" s="160"/>
    </row>
    <row r="42" spans="2:2" ht="33.75" customHeight="1">
      <c r="B42" s="160"/>
    </row>
    <row r="43" spans="2:2" ht="33.75" customHeight="1">
      <c r="B43" s="160"/>
    </row>
    <row r="44" spans="2:2" ht="33.75" customHeight="1">
      <c r="B44" s="160"/>
    </row>
    <row r="45" spans="2:2" ht="33.75" customHeight="1">
      <c r="B45" s="160"/>
    </row>
    <row r="46" spans="2:2" ht="33.75" customHeight="1">
      <c r="B46" s="160"/>
    </row>
    <row r="47" spans="2:2" ht="33.75" customHeight="1">
      <c r="B47" s="160"/>
    </row>
    <row r="48" spans="2:2" ht="33.75" customHeight="1">
      <c r="B48" s="160"/>
    </row>
    <row r="49" spans="2:2" ht="33.75" customHeight="1">
      <c r="B49" s="160"/>
    </row>
    <row r="50" spans="2:2" ht="33.75" customHeight="1">
      <c r="B50" s="160"/>
    </row>
    <row r="51" spans="2:2" ht="33.75" customHeight="1">
      <c r="B51" s="160"/>
    </row>
    <row r="52" spans="2:2" ht="33.75" customHeight="1">
      <c r="B52" s="160"/>
    </row>
    <row r="53" spans="2:2" ht="33.75" customHeight="1">
      <c r="B53" s="160"/>
    </row>
    <row r="54" spans="2:2" ht="33.75" customHeight="1">
      <c r="B54" s="160"/>
    </row>
    <row r="55" spans="2:2" ht="33.75" customHeight="1">
      <c r="B55" s="160"/>
    </row>
    <row r="56" spans="2:2" ht="33.75" customHeight="1">
      <c r="B56" s="160"/>
    </row>
    <row r="57" spans="2:2" ht="33.75" customHeight="1">
      <c r="B57" s="160"/>
    </row>
    <row r="58" spans="2:2" ht="33.75" customHeight="1">
      <c r="B58" s="160"/>
    </row>
    <row r="59" spans="2:2" ht="33.75" customHeight="1">
      <c r="B59" s="160"/>
    </row>
    <row r="60" spans="2:2" ht="33.75" customHeight="1">
      <c r="B60" s="160"/>
    </row>
    <row r="61" spans="2:2" ht="33.75" customHeight="1">
      <c r="B61" s="160"/>
    </row>
    <row r="62" spans="2:2" ht="33.75" customHeight="1">
      <c r="B62" s="160"/>
    </row>
    <row r="63" spans="2:2" ht="33.75" customHeight="1">
      <c r="B63" s="160"/>
    </row>
    <row r="64" spans="2:2" ht="33.75" customHeight="1">
      <c r="B64" s="160"/>
    </row>
    <row r="65" spans="2:2" ht="33.75" customHeight="1">
      <c r="B65" s="160"/>
    </row>
    <row r="66" spans="2:2" ht="33.75" customHeight="1">
      <c r="B66" s="160"/>
    </row>
    <row r="67" spans="2:2" ht="33.75" customHeight="1">
      <c r="B67" s="160"/>
    </row>
    <row r="68" spans="2:2" ht="33.75" customHeight="1">
      <c r="B68" s="160"/>
    </row>
    <row r="69" spans="2:2" ht="33.75" customHeight="1">
      <c r="B69" s="160"/>
    </row>
    <row r="70" spans="2:2" ht="33.75" customHeight="1">
      <c r="B70" s="160"/>
    </row>
    <row r="71" spans="2:2" ht="33.75" customHeight="1">
      <c r="B71" s="160"/>
    </row>
    <row r="72" spans="2:2" ht="33.75" customHeight="1">
      <c r="B72" s="160"/>
    </row>
    <row r="73" spans="2:2" ht="33.75" customHeight="1">
      <c r="B73" s="160"/>
    </row>
    <row r="74" spans="2:2" ht="33.75" customHeight="1">
      <c r="B74" s="160"/>
    </row>
    <row r="75" spans="2:2" ht="33.75" customHeight="1">
      <c r="B75" s="160"/>
    </row>
    <row r="76" spans="2:2" ht="33.75" customHeight="1">
      <c r="B76" s="160"/>
    </row>
    <row r="77" spans="2:2" ht="33.75" customHeight="1">
      <c r="B77" s="160"/>
    </row>
    <row r="78" spans="2:2" ht="33.75" customHeight="1">
      <c r="B78" s="160"/>
    </row>
    <row r="79" spans="2:2" ht="33.75" customHeight="1">
      <c r="B79" s="160"/>
    </row>
    <row r="80" spans="2:2" ht="33.75" customHeight="1">
      <c r="B80" s="160"/>
    </row>
    <row r="81" spans="2:2" ht="33.75" customHeight="1">
      <c r="B81" s="160"/>
    </row>
    <row r="82" spans="2:2" ht="33.75" customHeight="1">
      <c r="B82" s="160"/>
    </row>
    <row r="83" spans="2:2" ht="33.75" customHeight="1">
      <c r="B83" s="160"/>
    </row>
    <row r="84" spans="2:2" ht="33.75" customHeight="1">
      <c r="B84" s="160"/>
    </row>
    <row r="85" spans="2:2" ht="33.75" customHeight="1">
      <c r="B85" s="160"/>
    </row>
    <row r="86" spans="2:2" ht="33.75" customHeight="1">
      <c r="B86" s="160"/>
    </row>
    <row r="87" spans="2:2" ht="33.75" customHeight="1">
      <c r="B87" s="160"/>
    </row>
    <row r="88" spans="2:2" ht="33.75" customHeight="1">
      <c r="B88" s="160"/>
    </row>
    <row r="89" spans="2:2" ht="33.75" customHeight="1">
      <c r="B89" s="160"/>
    </row>
    <row r="90" spans="2:2" ht="33.75" customHeight="1">
      <c r="B90" s="160"/>
    </row>
    <row r="91" spans="2:2" ht="33.75" customHeight="1">
      <c r="B91" s="160"/>
    </row>
    <row r="92" spans="2:2" ht="33.75" customHeight="1">
      <c r="B92" s="160"/>
    </row>
    <row r="93" spans="2:2" ht="33.75" customHeight="1">
      <c r="B93" s="160"/>
    </row>
    <row r="94" spans="2:2" ht="33.75" customHeight="1">
      <c r="B94" s="160"/>
    </row>
    <row r="95" spans="2:2" ht="33.75" customHeight="1">
      <c r="B95" s="160"/>
    </row>
    <row r="96" spans="2:2" ht="33.75" customHeight="1">
      <c r="B96" s="160"/>
    </row>
    <row r="97" spans="2:2" ht="33.75" customHeight="1">
      <c r="B97" s="160"/>
    </row>
    <row r="98" spans="2:2" ht="33.75" customHeight="1">
      <c r="B98" s="160"/>
    </row>
    <row r="99" spans="2:2" ht="33.75" customHeight="1">
      <c r="B99" s="160"/>
    </row>
    <row r="100" spans="2:2" ht="33.75" customHeight="1">
      <c r="B100" s="160"/>
    </row>
    <row r="101" spans="2:2" ht="33.75" customHeight="1">
      <c r="B101" s="160"/>
    </row>
    <row r="102" spans="2:2" ht="33.75" customHeight="1">
      <c r="B102" s="160"/>
    </row>
    <row r="103" spans="2:2" ht="33.75" customHeight="1">
      <c r="B103" s="160"/>
    </row>
    <row r="104" spans="2:2" ht="33.75" customHeight="1">
      <c r="B104" s="160"/>
    </row>
    <row r="105" spans="2:2" ht="33.75" customHeight="1">
      <c r="B105" s="160"/>
    </row>
    <row r="106" spans="2:2" ht="33.75" customHeight="1">
      <c r="B106" s="160"/>
    </row>
    <row r="107" spans="2:2" ht="33.75" customHeight="1">
      <c r="B107" s="160"/>
    </row>
    <row r="108" spans="2:2" ht="33.75" customHeight="1">
      <c r="B108" s="160"/>
    </row>
    <row r="109" spans="2:2" ht="33.75" customHeight="1">
      <c r="B109" s="160"/>
    </row>
    <row r="110" spans="2:2" ht="33.75" customHeight="1">
      <c r="B110" s="160"/>
    </row>
    <row r="111" spans="2:2" ht="33.75" customHeight="1">
      <c r="B111" s="160"/>
    </row>
    <row r="112" spans="2:2" ht="33.75" customHeight="1">
      <c r="B112" s="160"/>
    </row>
    <row r="113" spans="2:2" ht="33.75" customHeight="1">
      <c r="B113" s="160"/>
    </row>
    <row r="114" spans="2:2" ht="33.75" customHeight="1">
      <c r="B114" s="160"/>
    </row>
    <row r="115" spans="2:2" ht="33.75" customHeight="1">
      <c r="B115" s="160"/>
    </row>
    <row r="116" spans="2:2" ht="33.75" customHeight="1">
      <c r="B116" s="160"/>
    </row>
    <row r="117" spans="2:2" ht="33.75" customHeight="1">
      <c r="B117" s="160"/>
    </row>
    <row r="118" spans="2:2" ht="33.75" customHeight="1">
      <c r="B118" s="160"/>
    </row>
    <row r="119" spans="2:2" ht="33.75" customHeight="1">
      <c r="B119" s="160"/>
    </row>
    <row r="120" spans="2:2" ht="33.75" customHeight="1">
      <c r="B120" s="160"/>
    </row>
    <row r="121" spans="2:2" ht="33.75" customHeight="1">
      <c r="B121" s="160"/>
    </row>
    <row r="122" spans="2:2" ht="33.75" customHeight="1">
      <c r="B122" s="160"/>
    </row>
    <row r="123" spans="2:2" ht="33.75" customHeight="1">
      <c r="B123" s="160"/>
    </row>
    <row r="124" spans="2:2" ht="33.75" customHeight="1">
      <c r="B124" s="160"/>
    </row>
    <row r="125" spans="2:2" ht="33.75" customHeight="1">
      <c r="B125" s="160"/>
    </row>
    <row r="126" spans="2:2" ht="33.75" customHeight="1">
      <c r="B126" s="160"/>
    </row>
    <row r="127" spans="2:2" ht="33.75" customHeight="1">
      <c r="B127" s="160"/>
    </row>
    <row r="128" spans="2:2" ht="33.75" customHeight="1">
      <c r="B128" s="160"/>
    </row>
    <row r="129" spans="2:2" ht="33.75" customHeight="1">
      <c r="B129" s="160"/>
    </row>
    <row r="130" spans="2:2" ht="33.75" customHeight="1">
      <c r="B130" s="160"/>
    </row>
    <row r="131" spans="2:2" ht="33.75" customHeight="1">
      <c r="B131" s="160"/>
    </row>
    <row r="132" spans="2:2" ht="33.75" customHeight="1">
      <c r="B132" s="160"/>
    </row>
    <row r="133" spans="2:2" ht="33.75" customHeight="1">
      <c r="B133" s="160"/>
    </row>
    <row r="134" spans="2:2" ht="33.75" customHeight="1">
      <c r="B134" s="160"/>
    </row>
    <row r="135" spans="2:2" ht="33.75" customHeight="1">
      <c r="B135" s="160"/>
    </row>
    <row r="136" spans="2:2" ht="33.75" customHeight="1">
      <c r="B136" s="160"/>
    </row>
    <row r="137" spans="2:2" ht="33.75" customHeight="1">
      <c r="B137" s="160"/>
    </row>
    <row r="138" spans="2:2" ht="33.75" customHeight="1">
      <c r="B138" s="160"/>
    </row>
    <row r="139" spans="2:2" ht="33.75" customHeight="1">
      <c r="B139" s="160"/>
    </row>
    <row r="140" spans="2:2" ht="33.75" customHeight="1">
      <c r="B140" s="160"/>
    </row>
    <row r="141" spans="2:2" ht="33.75" customHeight="1">
      <c r="B141" s="160"/>
    </row>
    <row r="142" spans="2:2" ht="33.75" customHeight="1">
      <c r="B142" s="160"/>
    </row>
    <row r="143" spans="2:2" ht="33.75" customHeight="1">
      <c r="B143" s="160"/>
    </row>
    <row r="144" spans="2:2" ht="33.75" customHeight="1">
      <c r="B144" s="160"/>
    </row>
    <row r="145" spans="2:2" ht="33.75" customHeight="1">
      <c r="B145" s="160"/>
    </row>
    <row r="146" spans="2:2" ht="33.75" customHeight="1">
      <c r="B146" s="160"/>
    </row>
    <row r="147" spans="2:2" ht="33.75" customHeight="1">
      <c r="B147" s="160"/>
    </row>
    <row r="148" spans="2:2" ht="33.75" customHeight="1">
      <c r="B148" s="160"/>
    </row>
    <row r="149" spans="2:2" ht="33.75" customHeight="1">
      <c r="B149" s="160"/>
    </row>
    <row r="150" spans="2:2" ht="33.75" customHeight="1">
      <c r="B150" s="160"/>
    </row>
    <row r="151" spans="2:2" ht="33.75" customHeight="1">
      <c r="B151" s="160"/>
    </row>
    <row r="152" spans="2:2" ht="33.75" customHeight="1">
      <c r="B152" s="160"/>
    </row>
    <row r="153" spans="2:2" ht="33.75" customHeight="1">
      <c r="B153" s="160"/>
    </row>
    <row r="154" spans="2:2" ht="33.75" customHeight="1">
      <c r="B154" s="160"/>
    </row>
    <row r="155" spans="2:2" ht="33.75" customHeight="1">
      <c r="B155" s="160"/>
    </row>
    <row r="156" spans="2:2" ht="33.75" customHeight="1">
      <c r="B156" s="160"/>
    </row>
    <row r="157" spans="2:2" ht="33.75" customHeight="1">
      <c r="B157" s="160"/>
    </row>
    <row r="158" spans="2:2" ht="33.75" customHeight="1">
      <c r="B158" s="160"/>
    </row>
    <row r="159" spans="2:2" ht="33.75" customHeight="1">
      <c r="B159" s="160"/>
    </row>
    <row r="160" spans="2:2" ht="33.75" customHeight="1">
      <c r="B160" s="160"/>
    </row>
    <row r="161" spans="2:2" ht="33.75" customHeight="1">
      <c r="B161" s="160"/>
    </row>
    <row r="162" spans="2:2" ht="33.75" customHeight="1">
      <c r="B162" s="160"/>
    </row>
    <row r="163" spans="2:2" ht="33.75" customHeight="1">
      <c r="B163" s="160"/>
    </row>
    <row r="164" spans="2:2" ht="33.75" customHeight="1">
      <c r="B164" s="160"/>
    </row>
    <row r="165" spans="2:2" ht="33.75" customHeight="1">
      <c r="B165" s="160"/>
    </row>
    <row r="166" spans="2:2" ht="33.75" customHeight="1">
      <c r="B166" s="160"/>
    </row>
    <row r="167" spans="2:2" ht="33.75" customHeight="1">
      <c r="B167" s="160"/>
    </row>
    <row r="168" spans="2:2" ht="33.75" customHeight="1">
      <c r="B168" s="160"/>
    </row>
    <row r="169" spans="2:2" ht="33.75" customHeight="1">
      <c r="B169" s="160"/>
    </row>
    <row r="170" spans="2:2" ht="33.75" customHeight="1">
      <c r="B170" s="160"/>
    </row>
    <row r="171" spans="2:2" ht="33.75" customHeight="1">
      <c r="B171" s="160"/>
    </row>
    <row r="172" spans="2:2" ht="33.75" customHeight="1">
      <c r="B172" s="160"/>
    </row>
    <row r="173" spans="2:2" ht="33.75" customHeight="1">
      <c r="B173" s="160"/>
    </row>
    <row r="174" spans="2:2" ht="33.75" customHeight="1">
      <c r="B174" s="160"/>
    </row>
    <row r="175" spans="2:2" ht="33.75" customHeight="1">
      <c r="B175" s="160"/>
    </row>
    <row r="176" spans="2:2" ht="33.75" customHeight="1">
      <c r="B176" s="160"/>
    </row>
    <row r="177" spans="2:2" ht="33.75" customHeight="1">
      <c r="B177" s="160"/>
    </row>
    <row r="178" spans="2:2" ht="33.75" customHeight="1">
      <c r="B178" s="160"/>
    </row>
    <row r="179" spans="2:2" ht="33.75" customHeight="1">
      <c r="B179" s="160"/>
    </row>
    <row r="180" spans="2:2" ht="33.75" customHeight="1">
      <c r="B180" s="160"/>
    </row>
    <row r="181" spans="2:2" ht="33.75" customHeight="1">
      <c r="B181" s="160"/>
    </row>
    <row r="182" spans="2:2" ht="33.75" customHeight="1">
      <c r="B182" s="160"/>
    </row>
    <row r="183" spans="2:2" ht="33.75" customHeight="1">
      <c r="B183" s="160"/>
    </row>
    <row r="184" spans="2:2" ht="33.75" customHeight="1">
      <c r="B184" s="160"/>
    </row>
    <row r="185" spans="2:2" ht="33.75" customHeight="1">
      <c r="B185" s="160"/>
    </row>
    <row r="186" spans="2:2" ht="33.75" customHeight="1">
      <c r="B186" s="160"/>
    </row>
    <row r="187" spans="2:2" ht="33.75" customHeight="1">
      <c r="B187" s="160"/>
    </row>
    <row r="188" spans="2:2" ht="33.75" customHeight="1">
      <c r="B188" s="160"/>
    </row>
    <row r="189" spans="2:2" ht="33.75" customHeight="1">
      <c r="B189" s="160"/>
    </row>
    <row r="190" spans="2:2" ht="33.75" customHeight="1">
      <c r="B190" s="160"/>
    </row>
    <row r="191" spans="2:2" ht="33.75" customHeight="1">
      <c r="B191" s="160"/>
    </row>
    <row r="192" spans="2:2" ht="33.75" customHeight="1">
      <c r="B192" s="160"/>
    </row>
    <row r="193" spans="2:2" ht="33.75" customHeight="1">
      <c r="B193" s="160"/>
    </row>
    <row r="194" spans="2:2" ht="33.75" customHeight="1">
      <c r="B194" s="160"/>
    </row>
    <row r="195" spans="2:2" ht="33.75" customHeight="1">
      <c r="B195" s="160"/>
    </row>
    <row r="196" spans="2:2" ht="33.75" customHeight="1">
      <c r="B196" s="160"/>
    </row>
    <row r="197" spans="2:2" ht="33.75" customHeight="1">
      <c r="B197" s="160"/>
    </row>
    <row r="198" spans="2:2" ht="33.75" customHeight="1">
      <c r="B198" s="160"/>
    </row>
    <row r="199" spans="2:2" ht="33.75" customHeight="1">
      <c r="B199" s="160"/>
    </row>
    <row r="200" spans="2:2" ht="33.75" customHeight="1">
      <c r="B200" s="160"/>
    </row>
    <row r="201" spans="2:2" ht="33.75" customHeight="1">
      <c r="B201" s="160"/>
    </row>
    <row r="202" spans="2:2" ht="33.75" customHeight="1">
      <c r="B202" s="160"/>
    </row>
    <row r="203" spans="2:2" ht="33.75" customHeight="1">
      <c r="B203" s="160"/>
    </row>
    <row r="204" spans="2:2" ht="33.75" customHeight="1">
      <c r="B204" s="160"/>
    </row>
    <row r="205" spans="2:2" ht="33.75" customHeight="1">
      <c r="B205" s="160"/>
    </row>
    <row r="206" spans="2:2" ht="33.75" customHeight="1">
      <c r="B206" s="160"/>
    </row>
    <row r="207" spans="2:2" ht="33.75" customHeight="1">
      <c r="B207" s="160"/>
    </row>
    <row r="208" spans="2:2" ht="33.75" customHeight="1">
      <c r="B208" s="160"/>
    </row>
    <row r="209" spans="2:2" ht="33.75" customHeight="1">
      <c r="B209" s="160"/>
    </row>
    <row r="210" spans="2:2" ht="33.75" customHeight="1">
      <c r="B210" s="160"/>
    </row>
    <row r="211" spans="2:2" ht="33.75" customHeight="1">
      <c r="B211" s="160"/>
    </row>
    <row r="212" spans="2:2" ht="33.75" customHeight="1">
      <c r="B212" s="160"/>
    </row>
    <row r="213" spans="2:2" ht="33.75" customHeight="1">
      <c r="B213" s="160"/>
    </row>
    <row r="214" spans="2:2" ht="33.75" customHeight="1">
      <c r="B214" s="160"/>
    </row>
    <row r="215" spans="2:2" ht="33.75" customHeight="1">
      <c r="B215" s="160"/>
    </row>
    <row r="216" spans="2:2" ht="33.75" customHeight="1">
      <c r="B216" s="160"/>
    </row>
    <row r="217" spans="2:2" ht="33.75" customHeight="1">
      <c r="B217" s="160"/>
    </row>
    <row r="218" spans="2:2" ht="33.75" customHeight="1">
      <c r="B218" s="160"/>
    </row>
    <row r="219" spans="2:2" ht="33.75" customHeight="1">
      <c r="B219" s="160"/>
    </row>
    <row r="220" spans="2:2" ht="33.75" customHeight="1">
      <c r="B220" s="160"/>
    </row>
    <row r="221" spans="2:2" ht="33.75" customHeight="1">
      <c r="B221" s="160"/>
    </row>
    <row r="222" spans="2:2" ht="15.75" customHeight="1">
      <c r="B222" s="160"/>
    </row>
    <row r="223" spans="2:2" ht="15.75" customHeight="1">
      <c r="B223" s="160"/>
    </row>
    <row r="224" spans="2:2" ht="15.75" customHeight="1">
      <c r="B224" s="160"/>
    </row>
    <row r="225" spans="2:2" ht="15.75" customHeight="1">
      <c r="B225" s="160"/>
    </row>
    <row r="226" spans="2:2" ht="15.75" customHeight="1">
      <c r="B226" s="160"/>
    </row>
    <row r="227" spans="2:2" ht="15.75" customHeight="1">
      <c r="B227" s="160"/>
    </row>
    <row r="228" spans="2:2" ht="15.75" customHeight="1">
      <c r="B228" s="160"/>
    </row>
    <row r="229" spans="2:2" ht="15.75" customHeight="1">
      <c r="B229" s="160"/>
    </row>
    <row r="230" spans="2:2" ht="15.75" customHeight="1">
      <c r="B230" s="160"/>
    </row>
    <row r="231" spans="2:2" ht="15.75" customHeight="1">
      <c r="B231" s="160"/>
    </row>
    <row r="232" spans="2:2" ht="15.75" customHeight="1">
      <c r="B232" s="160"/>
    </row>
    <row r="233" spans="2:2" ht="15.75" customHeight="1">
      <c r="B233" s="160"/>
    </row>
    <row r="234" spans="2:2" ht="15.75" customHeight="1">
      <c r="B234" s="160"/>
    </row>
    <row r="235" spans="2:2" ht="15.75" customHeight="1">
      <c r="B235" s="160"/>
    </row>
    <row r="236" spans="2:2" ht="15.75" customHeight="1">
      <c r="B236" s="160"/>
    </row>
    <row r="237" spans="2:2" ht="15.75" customHeight="1">
      <c r="B237" s="160"/>
    </row>
    <row r="238" spans="2:2" ht="15.75" customHeight="1">
      <c r="B238" s="160"/>
    </row>
    <row r="239" spans="2:2" ht="15.75" customHeight="1">
      <c r="B239" s="160"/>
    </row>
    <row r="240" spans="2:2" ht="15.75" customHeight="1">
      <c r="B240" s="160"/>
    </row>
    <row r="241" spans="2:2" ht="15.75" customHeight="1">
      <c r="B241" s="160"/>
    </row>
    <row r="242" spans="2:2" ht="15.75" customHeight="1">
      <c r="B242" s="160"/>
    </row>
    <row r="243" spans="2:2" ht="15.75" customHeight="1">
      <c r="B243" s="160"/>
    </row>
    <row r="244" spans="2:2" ht="15.75" customHeight="1">
      <c r="B244" s="160"/>
    </row>
    <row r="245" spans="2:2" ht="15.75" customHeight="1">
      <c r="B245" s="160"/>
    </row>
    <row r="246" spans="2:2" ht="15.75" customHeight="1">
      <c r="B246" s="160"/>
    </row>
    <row r="247" spans="2:2" ht="15.75" customHeight="1">
      <c r="B247" s="160"/>
    </row>
    <row r="248" spans="2:2" ht="15.75" customHeight="1">
      <c r="B248" s="160"/>
    </row>
    <row r="249" spans="2:2" ht="15.75" customHeight="1">
      <c r="B249" s="160"/>
    </row>
    <row r="250" spans="2:2" ht="15.75" customHeight="1">
      <c r="B250" s="160"/>
    </row>
    <row r="251" spans="2:2" ht="15.75" customHeight="1">
      <c r="B251" s="160"/>
    </row>
    <row r="252" spans="2:2" ht="15.75" customHeight="1">
      <c r="B252" s="160"/>
    </row>
    <row r="253" spans="2:2" ht="15.75" customHeight="1">
      <c r="B253" s="160"/>
    </row>
    <row r="254" spans="2:2" ht="15.75" customHeight="1">
      <c r="B254" s="160"/>
    </row>
    <row r="255" spans="2:2" ht="15.75" customHeight="1">
      <c r="B255" s="160"/>
    </row>
    <row r="256" spans="2:2" ht="15.75" customHeight="1">
      <c r="B256" s="160"/>
    </row>
    <row r="257" spans="2:2" ht="15.75" customHeight="1">
      <c r="B257" s="160"/>
    </row>
    <row r="258" spans="2:2" ht="15.75" customHeight="1">
      <c r="B258" s="160"/>
    </row>
    <row r="259" spans="2:2" ht="15.75" customHeight="1">
      <c r="B259" s="160"/>
    </row>
    <row r="260" spans="2:2" ht="15.75" customHeight="1">
      <c r="B260" s="160"/>
    </row>
    <row r="261" spans="2:2" ht="15.75" customHeight="1">
      <c r="B261" s="160"/>
    </row>
    <row r="262" spans="2:2" ht="15.75" customHeight="1">
      <c r="B262" s="160"/>
    </row>
    <row r="263" spans="2:2" ht="15.75" customHeight="1">
      <c r="B263" s="160"/>
    </row>
    <row r="264" spans="2:2" ht="15.75" customHeight="1">
      <c r="B264" s="160"/>
    </row>
    <row r="265" spans="2:2" ht="15.75" customHeight="1">
      <c r="B265" s="160"/>
    </row>
    <row r="266" spans="2:2" ht="15.75" customHeight="1">
      <c r="B266" s="160"/>
    </row>
    <row r="267" spans="2:2" ht="15.75" customHeight="1">
      <c r="B267" s="160"/>
    </row>
    <row r="268" spans="2:2" ht="15.75" customHeight="1">
      <c r="B268" s="160"/>
    </row>
    <row r="269" spans="2:2" ht="15.75" customHeight="1">
      <c r="B269" s="160"/>
    </row>
    <row r="270" spans="2:2" ht="15.75" customHeight="1">
      <c r="B270" s="160"/>
    </row>
    <row r="271" spans="2:2" ht="15.75" customHeight="1">
      <c r="B271" s="160"/>
    </row>
    <row r="272" spans="2:2" ht="15.75" customHeight="1">
      <c r="B272" s="160"/>
    </row>
    <row r="273" spans="2:2" ht="15.75" customHeight="1">
      <c r="B273" s="160"/>
    </row>
    <row r="274" spans="2:2" ht="15.75" customHeight="1">
      <c r="B274" s="160"/>
    </row>
    <row r="275" spans="2:2" ht="15.75" customHeight="1">
      <c r="B275" s="160"/>
    </row>
    <row r="276" spans="2:2" ht="15.75" customHeight="1">
      <c r="B276" s="160"/>
    </row>
    <row r="277" spans="2:2" ht="15.75" customHeight="1">
      <c r="B277" s="160"/>
    </row>
    <row r="278" spans="2:2" ht="15.75" customHeight="1">
      <c r="B278" s="160"/>
    </row>
    <row r="279" spans="2:2" ht="15.75" customHeight="1">
      <c r="B279" s="160"/>
    </row>
    <row r="280" spans="2:2" ht="15.75" customHeight="1">
      <c r="B280" s="160"/>
    </row>
    <row r="281" spans="2:2" ht="15.75" customHeight="1">
      <c r="B281" s="160"/>
    </row>
    <row r="282" spans="2:2" ht="15.75" customHeight="1">
      <c r="B282" s="160"/>
    </row>
    <row r="283" spans="2:2" ht="15.75" customHeight="1">
      <c r="B283" s="160"/>
    </row>
    <row r="284" spans="2:2" ht="15.75" customHeight="1">
      <c r="B284" s="160"/>
    </row>
    <row r="285" spans="2:2" ht="15.75" customHeight="1">
      <c r="B285" s="160"/>
    </row>
    <row r="286" spans="2:2" ht="15.75" customHeight="1">
      <c r="B286" s="160"/>
    </row>
    <row r="287" spans="2:2" ht="15.75" customHeight="1">
      <c r="B287" s="160"/>
    </row>
    <row r="288" spans="2:2" ht="15.75" customHeight="1">
      <c r="B288" s="160"/>
    </row>
    <row r="289" spans="2:2" ht="15.75" customHeight="1">
      <c r="B289" s="160"/>
    </row>
    <row r="290" spans="2:2" ht="15.75" customHeight="1">
      <c r="B290" s="160"/>
    </row>
    <row r="291" spans="2:2" ht="15.75" customHeight="1">
      <c r="B291" s="160"/>
    </row>
    <row r="292" spans="2:2" ht="15.75" customHeight="1">
      <c r="B292" s="160"/>
    </row>
    <row r="293" spans="2:2" ht="15.75" customHeight="1">
      <c r="B293" s="160"/>
    </row>
    <row r="294" spans="2:2" ht="15.75" customHeight="1">
      <c r="B294" s="160"/>
    </row>
    <row r="295" spans="2:2" ht="15.75" customHeight="1">
      <c r="B295" s="160"/>
    </row>
    <row r="296" spans="2:2" ht="15.75" customHeight="1">
      <c r="B296" s="160"/>
    </row>
    <row r="297" spans="2:2" ht="15.75" customHeight="1">
      <c r="B297" s="160"/>
    </row>
    <row r="298" spans="2:2" ht="15.75" customHeight="1">
      <c r="B298" s="160"/>
    </row>
    <row r="299" spans="2:2" ht="15.75" customHeight="1">
      <c r="B299" s="160"/>
    </row>
    <row r="300" spans="2:2" ht="15.75" customHeight="1">
      <c r="B300" s="160"/>
    </row>
    <row r="301" spans="2:2" ht="15.75" customHeight="1">
      <c r="B301" s="160"/>
    </row>
    <row r="302" spans="2:2" ht="15.75" customHeight="1">
      <c r="B302" s="160"/>
    </row>
    <row r="303" spans="2:2" ht="15.75" customHeight="1">
      <c r="B303" s="160"/>
    </row>
    <row r="304" spans="2:2" ht="15.75" customHeight="1">
      <c r="B304" s="160"/>
    </row>
    <row r="305" spans="2:2" ht="15.75" customHeight="1">
      <c r="B305" s="160"/>
    </row>
    <row r="306" spans="2:2" ht="15.75" customHeight="1">
      <c r="B306" s="160"/>
    </row>
    <row r="307" spans="2:2" ht="15.75" customHeight="1">
      <c r="B307" s="160"/>
    </row>
    <row r="308" spans="2:2" ht="15.75" customHeight="1">
      <c r="B308" s="160"/>
    </row>
    <row r="309" spans="2:2" ht="15.75" customHeight="1">
      <c r="B309" s="160"/>
    </row>
    <row r="310" spans="2:2" ht="15.75" customHeight="1">
      <c r="B310" s="160"/>
    </row>
    <row r="311" spans="2:2" ht="15.75" customHeight="1">
      <c r="B311" s="160"/>
    </row>
    <row r="312" spans="2:2" ht="15.75" customHeight="1">
      <c r="B312" s="160"/>
    </row>
    <row r="313" spans="2:2" ht="15.75" customHeight="1">
      <c r="B313" s="160"/>
    </row>
    <row r="314" spans="2:2" ht="15.75" customHeight="1">
      <c r="B314" s="160"/>
    </row>
    <row r="315" spans="2:2" ht="15.75" customHeight="1">
      <c r="B315" s="160"/>
    </row>
    <row r="316" spans="2:2" ht="15.75" customHeight="1">
      <c r="B316" s="160"/>
    </row>
    <row r="317" spans="2:2" ht="15.75" customHeight="1">
      <c r="B317" s="160"/>
    </row>
    <row r="318" spans="2:2" ht="15.75" customHeight="1">
      <c r="B318" s="160"/>
    </row>
    <row r="319" spans="2:2" ht="15.75" customHeight="1">
      <c r="B319" s="160"/>
    </row>
    <row r="320" spans="2:2" ht="15.75" customHeight="1">
      <c r="B320" s="160"/>
    </row>
    <row r="321" spans="2:2" ht="15.75" customHeight="1">
      <c r="B321" s="160"/>
    </row>
    <row r="322" spans="2:2" ht="15.75" customHeight="1">
      <c r="B322" s="160"/>
    </row>
    <row r="323" spans="2:2" ht="15.75" customHeight="1">
      <c r="B323" s="160"/>
    </row>
    <row r="324" spans="2:2" ht="15.75" customHeight="1">
      <c r="B324" s="160"/>
    </row>
    <row r="325" spans="2:2" ht="15.75" customHeight="1">
      <c r="B325" s="160"/>
    </row>
    <row r="326" spans="2:2" ht="15.75" customHeight="1">
      <c r="B326" s="160"/>
    </row>
    <row r="327" spans="2:2" ht="15.75" customHeight="1">
      <c r="B327" s="160"/>
    </row>
    <row r="328" spans="2:2" ht="15.75" customHeight="1">
      <c r="B328" s="160"/>
    </row>
    <row r="329" spans="2:2" ht="15.75" customHeight="1">
      <c r="B329" s="160"/>
    </row>
    <row r="330" spans="2:2" ht="15.75" customHeight="1">
      <c r="B330" s="160"/>
    </row>
    <row r="331" spans="2:2" ht="15.75" customHeight="1">
      <c r="B331" s="160"/>
    </row>
    <row r="332" spans="2:2" ht="15.75" customHeight="1">
      <c r="B332" s="160"/>
    </row>
    <row r="333" spans="2:2" ht="15.75" customHeight="1">
      <c r="B333" s="160"/>
    </row>
    <row r="334" spans="2:2" ht="15.75" customHeight="1">
      <c r="B334" s="160"/>
    </row>
    <row r="335" spans="2:2" ht="15.75" customHeight="1">
      <c r="B335" s="160"/>
    </row>
    <row r="336" spans="2:2" ht="15.75" customHeight="1">
      <c r="B336" s="160"/>
    </row>
    <row r="337" spans="2:2" ht="15.75" customHeight="1">
      <c r="B337" s="160"/>
    </row>
    <row r="338" spans="2:2" ht="15.75" customHeight="1">
      <c r="B338" s="160"/>
    </row>
    <row r="339" spans="2:2" ht="15.75" customHeight="1">
      <c r="B339" s="160"/>
    </row>
    <row r="340" spans="2:2" ht="15.75" customHeight="1">
      <c r="B340" s="160"/>
    </row>
    <row r="341" spans="2:2" ht="15.75" customHeight="1">
      <c r="B341" s="160"/>
    </row>
    <row r="342" spans="2:2" ht="15.75" customHeight="1">
      <c r="B342" s="160"/>
    </row>
    <row r="343" spans="2:2" ht="15.75" customHeight="1">
      <c r="B343" s="160"/>
    </row>
    <row r="344" spans="2:2" ht="15.75" customHeight="1">
      <c r="B344" s="160"/>
    </row>
    <row r="345" spans="2:2" ht="15.75" customHeight="1">
      <c r="B345" s="160"/>
    </row>
    <row r="346" spans="2:2" ht="15.75" customHeight="1">
      <c r="B346" s="160"/>
    </row>
    <row r="347" spans="2:2" ht="15.75" customHeight="1">
      <c r="B347" s="160"/>
    </row>
    <row r="348" spans="2:2" ht="15.75" customHeight="1">
      <c r="B348" s="160"/>
    </row>
    <row r="349" spans="2:2" ht="15.75" customHeight="1">
      <c r="B349" s="160"/>
    </row>
    <row r="350" spans="2:2" ht="15.75" customHeight="1">
      <c r="B350" s="160"/>
    </row>
    <row r="351" spans="2:2" ht="15.75" customHeight="1">
      <c r="B351" s="160"/>
    </row>
    <row r="352" spans="2:2" ht="15.75" customHeight="1">
      <c r="B352" s="160"/>
    </row>
    <row r="353" spans="2:2" ht="15.75" customHeight="1">
      <c r="B353" s="160"/>
    </row>
    <row r="354" spans="2:2" ht="15.75" customHeight="1">
      <c r="B354" s="160"/>
    </row>
    <row r="355" spans="2:2" ht="15.75" customHeight="1">
      <c r="B355" s="160"/>
    </row>
    <row r="356" spans="2:2" ht="15.75" customHeight="1">
      <c r="B356" s="160"/>
    </row>
    <row r="357" spans="2:2" ht="15.75" customHeight="1">
      <c r="B357" s="160"/>
    </row>
    <row r="358" spans="2:2" ht="15.75" customHeight="1">
      <c r="B358" s="160"/>
    </row>
    <row r="359" spans="2:2" ht="15.75" customHeight="1">
      <c r="B359" s="160"/>
    </row>
    <row r="360" spans="2:2" ht="15.75" customHeight="1">
      <c r="B360" s="160"/>
    </row>
    <row r="361" spans="2:2" ht="15.75" customHeight="1">
      <c r="B361" s="160"/>
    </row>
    <row r="362" spans="2:2" ht="15.75" customHeight="1">
      <c r="B362" s="160"/>
    </row>
    <row r="363" spans="2:2" ht="15.75" customHeight="1">
      <c r="B363" s="160"/>
    </row>
    <row r="364" spans="2:2" ht="15.75" customHeight="1">
      <c r="B364" s="160"/>
    </row>
    <row r="365" spans="2:2" ht="15.75" customHeight="1">
      <c r="B365" s="160"/>
    </row>
    <row r="366" spans="2:2" ht="15.75" customHeight="1">
      <c r="B366" s="160"/>
    </row>
    <row r="367" spans="2:2" ht="15.75" customHeight="1">
      <c r="B367" s="160"/>
    </row>
    <row r="368" spans="2:2" ht="15.75" customHeight="1">
      <c r="B368" s="160"/>
    </row>
    <row r="369" spans="2:2" ht="15.75" customHeight="1">
      <c r="B369" s="160"/>
    </row>
    <row r="370" spans="2:2" ht="15.75" customHeight="1">
      <c r="B370" s="160"/>
    </row>
    <row r="371" spans="2:2" ht="15.75" customHeight="1">
      <c r="B371" s="160"/>
    </row>
    <row r="372" spans="2:2" ht="15.75" customHeight="1">
      <c r="B372" s="160"/>
    </row>
    <row r="373" spans="2:2" ht="15.75" customHeight="1">
      <c r="B373" s="160"/>
    </row>
    <row r="374" spans="2:2" ht="15.75" customHeight="1">
      <c r="B374" s="160"/>
    </row>
    <row r="375" spans="2:2" ht="15.75" customHeight="1">
      <c r="B375" s="160"/>
    </row>
    <row r="376" spans="2:2" ht="15.75" customHeight="1">
      <c r="B376" s="160"/>
    </row>
    <row r="377" spans="2:2" ht="15.75" customHeight="1">
      <c r="B377" s="160"/>
    </row>
    <row r="378" spans="2:2" ht="15.75" customHeight="1">
      <c r="B378" s="160"/>
    </row>
    <row r="379" spans="2:2" ht="15.75" customHeight="1">
      <c r="B379" s="160"/>
    </row>
    <row r="380" spans="2:2" ht="15.75" customHeight="1">
      <c r="B380" s="160"/>
    </row>
    <row r="381" spans="2:2" ht="15.75" customHeight="1">
      <c r="B381" s="160"/>
    </row>
    <row r="382" spans="2:2" ht="15.75" customHeight="1">
      <c r="B382" s="160"/>
    </row>
    <row r="383" spans="2:2" ht="15.75" customHeight="1">
      <c r="B383" s="160"/>
    </row>
    <row r="384" spans="2:2" ht="15.75" customHeight="1">
      <c r="B384" s="160"/>
    </row>
    <row r="385" spans="2:2" ht="15.75" customHeight="1">
      <c r="B385" s="160"/>
    </row>
    <row r="386" spans="2:2" ht="15.75" customHeight="1">
      <c r="B386" s="160"/>
    </row>
    <row r="387" spans="2:2" ht="15.75" customHeight="1">
      <c r="B387" s="160"/>
    </row>
    <row r="388" spans="2:2" ht="15.75" customHeight="1">
      <c r="B388" s="160"/>
    </row>
    <row r="389" spans="2:2" ht="15.75" customHeight="1">
      <c r="B389" s="160"/>
    </row>
    <row r="390" spans="2:2" ht="15.75" customHeight="1">
      <c r="B390" s="160"/>
    </row>
    <row r="391" spans="2:2" ht="15.75" customHeight="1">
      <c r="B391" s="160"/>
    </row>
    <row r="392" spans="2:2" ht="15.75" customHeight="1">
      <c r="B392" s="160"/>
    </row>
    <row r="393" spans="2:2" ht="15.75" customHeight="1">
      <c r="B393" s="160"/>
    </row>
    <row r="394" spans="2:2" ht="15.75" customHeight="1">
      <c r="B394" s="160"/>
    </row>
    <row r="395" spans="2:2" ht="15.75" customHeight="1">
      <c r="B395" s="160"/>
    </row>
    <row r="396" spans="2:2" ht="15.75" customHeight="1">
      <c r="B396" s="160"/>
    </row>
    <row r="397" spans="2:2" ht="15.75" customHeight="1">
      <c r="B397" s="160"/>
    </row>
    <row r="398" spans="2:2" ht="15.75" customHeight="1">
      <c r="B398" s="160"/>
    </row>
    <row r="399" spans="2:2" ht="15.75" customHeight="1">
      <c r="B399" s="160"/>
    </row>
    <row r="400" spans="2:2" ht="15.75" customHeight="1">
      <c r="B400" s="160"/>
    </row>
    <row r="401" spans="2:2" ht="15.75" customHeight="1">
      <c r="B401" s="160"/>
    </row>
    <row r="402" spans="2:2" ht="15.75" customHeight="1">
      <c r="B402" s="160"/>
    </row>
    <row r="403" spans="2:2" ht="15.75" customHeight="1">
      <c r="B403" s="160"/>
    </row>
    <row r="404" spans="2:2" ht="15.75" customHeight="1">
      <c r="B404" s="160"/>
    </row>
    <row r="405" spans="2:2" ht="15.75" customHeight="1">
      <c r="B405" s="160"/>
    </row>
    <row r="406" spans="2:2" ht="15.75" customHeight="1">
      <c r="B406" s="160"/>
    </row>
    <row r="407" spans="2:2" ht="15.75" customHeight="1">
      <c r="B407" s="160"/>
    </row>
    <row r="408" spans="2:2" ht="15.75" customHeight="1">
      <c r="B408" s="160"/>
    </row>
    <row r="409" spans="2:2" ht="15.75" customHeight="1">
      <c r="B409" s="160"/>
    </row>
    <row r="410" spans="2:2" ht="15.75" customHeight="1">
      <c r="B410" s="160"/>
    </row>
    <row r="411" spans="2:2" ht="15.75" customHeight="1">
      <c r="B411" s="160"/>
    </row>
    <row r="412" spans="2:2" ht="15.75" customHeight="1">
      <c r="B412" s="160"/>
    </row>
    <row r="413" spans="2:2" ht="15.75" customHeight="1">
      <c r="B413" s="160"/>
    </row>
    <row r="414" spans="2:2" ht="15.75" customHeight="1">
      <c r="B414" s="160"/>
    </row>
    <row r="415" spans="2:2" ht="15.75" customHeight="1">
      <c r="B415" s="160"/>
    </row>
    <row r="416" spans="2:2" ht="15.75" customHeight="1">
      <c r="B416" s="160"/>
    </row>
    <row r="417" spans="2:2" ht="15.75" customHeight="1">
      <c r="B417" s="160"/>
    </row>
    <row r="418" spans="2:2" ht="15.75" customHeight="1">
      <c r="B418" s="160"/>
    </row>
    <row r="419" spans="2:2" ht="15.75" customHeight="1">
      <c r="B419" s="160"/>
    </row>
    <row r="420" spans="2:2" ht="15.75" customHeight="1">
      <c r="B420" s="160"/>
    </row>
    <row r="421" spans="2:2" ht="15.75" customHeight="1">
      <c r="B421" s="160"/>
    </row>
    <row r="422" spans="2:2" ht="15.75" customHeight="1">
      <c r="B422" s="160"/>
    </row>
    <row r="423" spans="2:2" ht="15.75" customHeight="1">
      <c r="B423" s="160"/>
    </row>
    <row r="424" spans="2:2" ht="15.75" customHeight="1">
      <c r="B424" s="160"/>
    </row>
    <row r="425" spans="2:2" ht="15.75" customHeight="1">
      <c r="B425" s="160"/>
    </row>
    <row r="426" spans="2:2" ht="15.75" customHeight="1">
      <c r="B426" s="160"/>
    </row>
    <row r="427" spans="2:2" ht="15.75" customHeight="1">
      <c r="B427" s="160"/>
    </row>
    <row r="428" spans="2:2" ht="15.75" customHeight="1">
      <c r="B428" s="160"/>
    </row>
    <row r="429" spans="2:2" ht="15.75" customHeight="1">
      <c r="B429" s="160"/>
    </row>
    <row r="430" spans="2:2" ht="15.75" customHeight="1">
      <c r="B430" s="160"/>
    </row>
    <row r="431" spans="2:2" ht="15.75" customHeight="1">
      <c r="B431" s="160"/>
    </row>
    <row r="432" spans="2:2" ht="15.75" customHeight="1">
      <c r="B432" s="160"/>
    </row>
    <row r="433" spans="2:2" ht="15.75" customHeight="1">
      <c r="B433" s="160"/>
    </row>
    <row r="434" spans="2:2" ht="15.75" customHeight="1">
      <c r="B434" s="160"/>
    </row>
    <row r="435" spans="2:2" ht="15.75" customHeight="1">
      <c r="B435" s="160"/>
    </row>
    <row r="436" spans="2:2" ht="15.75" customHeight="1">
      <c r="B436" s="160"/>
    </row>
    <row r="437" spans="2:2" ht="15.75" customHeight="1">
      <c r="B437" s="160"/>
    </row>
    <row r="438" spans="2:2" ht="15.75" customHeight="1">
      <c r="B438" s="160"/>
    </row>
    <row r="439" spans="2:2" ht="15.75" customHeight="1">
      <c r="B439" s="160"/>
    </row>
    <row r="440" spans="2:2" ht="15.75" customHeight="1">
      <c r="B440" s="160"/>
    </row>
    <row r="441" spans="2:2" ht="15.75" customHeight="1">
      <c r="B441" s="160"/>
    </row>
    <row r="442" spans="2:2" ht="15.75" customHeight="1">
      <c r="B442" s="160"/>
    </row>
    <row r="443" spans="2:2" ht="15.75" customHeight="1">
      <c r="B443" s="160"/>
    </row>
    <row r="444" spans="2:2" ht="15.75" customHeight="1">
      <c r="B444" s="160"/>
    </row>
    <row r="445" spans="2:2" ht="15.75" customHeight="1">
      <c r="B445" s="160"/>
    </row>
    <row r="446" spans="2:2" ht="15.75" customHeight="1">
      <c r="B446" s="160"/>
    </row>
    <row r="447" spans="2:2" ht="15.75" customHeight="1">
      <c r="B447" s="160"/>
    </row>
    <row r="448" spans="2:2" ht="15.75" customHeight="1">
      <c r="B448" s="160"/>
    </row>
    <row r="449" spans="2:2" ht="15.75" customHeight="1">
      <c r="B449" s="160"/>
    </row>
    <row r="450" spans="2:2" ht="15.75" customHeight="1">
      <c r="B450" s="160"/>
    </row>
    <row r="451" spans="2:2" ht="15.75" customHeight="1">
      <c r="B451" s="160"/>
    </row>
    <row r="452" spans="2:2" ht="15.75" customHeight="1">
      <c r="B452" s="160"/>
    </row>
    <row r="453" spans="2:2" ht="15.75" customHeight="1">
      <c r="B453" s="160"/>
    </row>
    <row r="454" spans="2:2" ht="15.75" customHeight="1">
      <c r="B454" s="160"/>
    </row>
    <row r="455" spans="2:2" ht="15.75" customHeight="1">
      <c r="B455" s="160"/>
    </row>
    <row r="456" spans="2:2" ht="15.75" customHeight="1">
      <c r="B456" s="160"/>
    </row>
    <row r="457" spans="2:2" ht="15.75" customHeight="1">
      <c r="B457" s="160"/>
    </row>
    <row r="458" spans="2:2" ht="15.75" customHeight="1">
      <c r="B458" s="160"/>
    </row>
    <row r="459" spans="2:2" ht="15.75" customHeight="1">
      <c r="B459" s="160"/>
    </row>
    <row r="460" spans="2:2" ht="15.75" customHeight="1">
      <c r="B460" s="160"/>
    </row>
    <row r="461" spans="2:2" ht="15.75" customHeight="1">
      <c r="B461" s="160"/>
    </row>
    <row r="462" spans="2:2" ht="15.75" customHeight="1">
      <c r="B462" s="160"/>
    </row>
    <row r="463" spans="2:2" ht="15.75" customHeight="1">
      <c r="B463" s="160"/>
    </row>
    <row r="464" spans="2:2" ht="15.75" customHeight="1">
      <c r="B464" s="160"/>
    </row>
    <row r="465" spans="2:2" ht="15.75" customHeight="1">
      <c r="B465" s="160"/>
    </row>
    <row r="466" spans="2:2" ht="15.75" customHeight="1">
      <c r="B466" s="160"/>
    </row>
    <row r="467" spans="2:2" ht="15.75" customHeight="1">
      <c r="B467" s="160"/>
    </row>
    <row r="468" spans="2:2" ht="15.75" customHeight="1">
      <c r="B468" s="160"/>
    </row>
    <row r="469" spans="2:2" ht="15.75" customHeight="1">
      <c r="B469" s="160"/>
    </row>
    <row r="470" spans="2:2" ht="15.75" customHeight="1">
      <c r="B470" s="160"/>
    </row>
    <row r="471" spans="2:2" ht="15.75" customHeight="1">
      <c r="B471" s="160"/>
    </row>
    <row r="472" spans="2:2" ht="15.75" customHeight="1">
      <c r="B472" s="160"/>
    </row>
    <row r="473" spans="2:2" ht="15.75" customHeight="1">
      <c r="B473" s="160"/>
    </row>
    <row r="474" spans="2:2" ht="15.75" customHeight="1">
      <c r="B474" s="160"/>
    </row>
    <row r="475" spans="2:2" ht="15.75" customHeight="1">
      <c r="B475" s="160"/>
    </row>
    <row r="476" spans="2:2" ht="15.75" customHeight="1">
      <c r="B476" s="160"/>
    </row>
    <row r="477" spans="2:2" ht="15.75" customHeight="1">
      <c r="B477" s="160"/>
    </row>
    <row r="478" spans="2:2" ht="15.75" customHeight="1">
      <c r="B478" s="160"/>
    </row>
    <row r="479" spans="2:2" ht="15.75" customHeight="1">
      <c r="B479" s="160"/>
    </row>
    <row r="480" spans="2:2" ht="15.75" customHeight="1">
      <c r="B480" s="160"/>
    </row>
    <row r="481" spans="2:2" ht="15.75" customHeight="1">
      <c r="B481" s="160"/>
    </row>
    <row r="482" spans="2:2" ht="15.75" customHeight="1">
      <c r="B482" s="160"/>
    </row>
    <row r="483" spans="2:2" ht="15.75" customHeight="1">
      <c r="B483" s="160"/>
    </row>
    <row r="484" spans="2:2" ht="15.75" customHeight="1">
      <c r="B484" s="160"/>
    </row>
    <row r="485" spans="2:2" ht="15.75" customHeight="1">
      <c r="B485" s="160"/>
    </row>
    <row r="486" spans="2:2" ht="15.75" customHeight="1">
      <c r="B486" s="160"/>
    </row>
    <row r="487" spans="2:2" ht="15.75" customHeight="1">
      <c r="B487" s="160"/>
    </row>
    <row r="488" spans="2:2" ht="15.75" customHeight="1">
      <c r="B488" s="160"/>
    </row>
    <row r="489" spans="2:2" ht="15.75" customHeight="1">
      <c r="B489" s="160"/>
    </row>
    <row r="490" spans="2:2" ht="15.75" customHeight="1">
      <c r="B490" s="160"/>
    </row>
    <row r="491" spans="2:2" ht="15.75" customHeight="1">
      <c r="B491" s="160"/>
    </row>
    <row r="492" spans="2:2" ht="15.75" customHeight="1">
      <c r="B492" s="160"/>
    </row>
    <row r="493" spans="2:2" ht="15.75" customHeight="1">
      <c r="B493" s="160"/>
    </row>
    <row r="494" spans="2:2" ht="15.75" customHeight="1">
      <c r="B494" s="160"/>
    </row>
    <row r="495" spans="2:2" ht="15.75" customHeight="1">
      <c r="B495" s="160"/>
    </row>
    <row r="496" spans="2:2" ht="15.75" customHeight="1">
      <c r="B496" s="160"/>
    </row>
    <row r="497" spans="2:2" ht="15.75" customHeight="1">
      <c r="B497" s="160"/>
    </row>
    <row r="498" spans="2:2" ht="15.75" customHeight="1">
      <c r="B498" s="160"/>
    </row>
    <row r="499" spans="2:2" ht="15.75" customHeight="1">
      <c r="B499" s="160"/>
    </row>
    <row r="500" spans="2:2" ht="15.75" customHeight="1">
      <c r="B500" s="160"/>
    </row>
    <row r="501" spans="2:2" ht="15.75" customHeight="1">
      <c r="B501" s="160"/>
    </row>
    <row r="502" spans="2:2" ht="15.75" customHeight="1">
      <c r="B502" s="160"/>
    </row>
    <row r="503" spans="2:2" ht="15.75" customHeight="1">
      <c r="B503" s="160"/>
    </row>
    <row r="504" spans="2:2" ht="15.75" customHeight="1">
      <c r="B504" s="160"/>
    </row>
    <row r="505" spans="2:2" ht="15.75" customHeight="1">
      <c r="B505" s="160"/>
    </row>
    <row r="506" spans="2:2" ht="15.75" customHeight="1">
      <c r="B506" s="160"/>
    </row>
    <row r="507" spans="2:2" ht="15.75" customHeight="1">
      <c r="B507" s="160"/>
    </row>
    <row r="508" spans="2:2" ht="15.75" customHeight="1">
      <c r="B508" s="160"/>
    </row>
    <row r="509" spans="2:2" ht="15.75" customHeight="1">
      <c r="B509" s="160"/>
    </row>
    <row r="510" spans="2:2" ht="15.75" customHeight="1">
      <c r="B510" s="160"/>
    </row>
    <row r="511" spans="2:2" ht="15.75" customHeight="1">
      <c r="B511" s="160"/>
    </row>
    <row r="512" spans="2:2" ht="15.75" customHeight="1">
      <c r="B512" s="160"/>
    </row>
    <row r="513" spans="2:2" ht="15.75" customHeight="1">
      <c r="B513" s="160"/>
    </row>
    <row r="514" spans="2:2" ht="15.75" customHeight="1">
      <c r="B514" s="160"/>
    </row>
    <row r="515" spans="2:2" ht="15.75" customHeight="1">
      <c r="B515" s="160"/>
    </row>
    <row r="516" spans="2:2" ht="15.75" customHeight="1">
      <c r="B516" s="160"/>
    </row>
    <row r="517" spans="2:2" ht="15.75" customHeight="1">
      <c r="B517" s="160"/>
    </row>
    <row r="518" spans="2:2" ht="15.75" customHeight="1">
      <c r="B518" s="160"/>
    </row>
    <row r="519" spans="2:2" ht="15.75" customHeight="1">
      <c r="B519" s="160"/>
    </row>
    <row r="520" spans="2:2" ht="15.75" customHeight="1">
      <c r="B520" s="160"/>
    </row>
    <row r="521" spans="2:2" ht="15.75" customHeight="1">
      <c r="B521" s="160"/>
    </row>
    <row r="522" spans="2:2" ht="15.75" customHeight="1">
      <c r="B522" s="160"/>
    </row>
    <row r="523" spans="2:2" ht="15.75" customHeight="1">
      <c r="B523" s="160"/>
    </row>
    <row r="524" spans="2:2" ht="15.75" customHeight="1">
      <c r="B524" s="160"/>
    </row>
    <row r="525" spans="2:2" ht="15.75" customHeight="1">
      <c r="B525" s="160"/>
    </row>
    <row r="526" spans="2:2" ht="15.75" customHeight="1">
      <c r="B526" s="160"/>
    </row>
    <row r="527" spans="2:2" ht="15.75" customHeight="1">
      <c r="B527" s="160"/>
    </row>
    <row r="528" spans="2:2" ht="15.75" customHeight="1">
      <c r="B528" s="160"/>
    </row>
    <row r="529" spans="2:2" ht="15.75" customHeight="1">
      <c r="B529" s="160"/>
    </row>
    <row r="530" spans="2:2" ht="15.75" customHeight="1">
      <c r="B530" s="160"/>
    </row>
    <row r="531" spans="2:2" ht="15.75" customHeight="1">
      <c r="B531" s="160"/>
    </row>
    <row r="532" spans="2:2" ht="15.75" customHeight="1">
      <c r="B532" s="160"/>
    </row>
    <row r="533" spans="2:2" ht="15.75" customHeight="1">
      <c r="B533" s="160"/>
    </row>
    <row r="534" spans="2:2" ht="15.75" customHeight="1">
      <c r="B534" s="160"/>
    </row>
    <row r="535" spans="2:2" ht="15.75" customHeight="1">
      <c r="B535" s="160"/>
    </row>
    <row r="536" spans="2:2" ht="15.75" customHeight="1">
      <c r="B536" s="160"/>
    </row>
    <row r="537" spans="2:2" ht="15.75" customHeight="1">
      <c r="B537" s="160"/>
    </row>
    <row r="538" spans="2:2" ht="15.75" customHeight="1">
      <c r="B538" s="160"/>
    </row>
    <row r="539" spans="2:2" ht="15.75" customHeight="1">
      <c r="B539" s="160"/>
    </row>
    <row r="540" spans="2:2" ht="15.75" customHeight="1">
      <c r="B540" s="160"/>
    </row>
    <row r="541" spans="2:2" ht="15.75" customHeight="1">
      <c r="B541" s="160"/>
    </row>
    <row r="542" spans="2:2" ht="15.75" customHeight="1">
      <c r="B542" s="160"/>
    </row>
    <row r="543" spans="2:2" ht="15.75" customHeight="1">
      <c r="B543" s="160"/>
    </row>
    <row r="544" spans="2:2" ht="15.75" customHeight="1">
      <c r="B544" s="160"/>
    </row>
    <row r="545" spans="2:2" ht="15.75" customHeight="1">
      <c r="B545" s="160"/>
    </row>
    <row r="546" spans="2:2" ht="15.75" customHeight="1">
      <c r="B546" s="160"/>
    </row>
    <row r="547" spans="2:2" ht="15.75" customHeight="1">
      <c r="B547" s="160"/>
    </row>
    <row r="548" spans="2:2" ht="15.75" customHeight="1">
      <c r="B548" s="160"/>
    </row>
    <row r="549" spans="2:2" ht="15.75" customHeight="1">
      <c r="B549" s="160"/>
    </row>
    <row r="550" spans="2:2" ht="15.75" customHeight="1">
      <c r="B550" s="160"/>
    </row>
    <row r="551" spans="2:2" ht="15.75" customHeight="1">
      <c r="B551" s="160"/>
    </row>
    <row r="552" spans="2:2" ht="15.75" customHeight="1">
      <c r="B552" s="160"/>
    </row>
    <row r="553" spans="2:2" ht="15.75" customHeight="1">
      <c r="B553" s="160"/>
    </row>
    <row r="554" spans="2:2" ht="15.75" customHeight="1">
      <c r="B554" s="160"/>
    </row>
    <row r="555" spans="2:2" ht="15.75" customHeight="1">
      <c r="B555" s="160"/>
    </row>
    <row r="556" spans="2:2" ht="15.75" customHeight="1">
      <c r="B556" s="160"/>
    </row>
    <row r="557" spans="2:2" ht="15.75" customHeight="1">
      <c r="B557" s="160"/>
    </row>
    <row r="558" spans="2:2" ht="15.75" customHeight="1">
      <c r="B558" s="160"/>
    </row>
    <row r="559" spans="2:2" ht="15.75" customHeight="1">
      <c r="B559" s="160"/>
    </row>
    <row r="560" spans="2:2" ht="15.75" customHeight="1">
      <c r="B560" s="160"/>
    </row>
    <row r="561" spans="2:2" ht="15.75" customHeight="1">
      <c r="B561" s="160"/>
    </row>
    <row r="562" spans="2:2" ht="15.75" customHeight="1">
      <c r="B562" s="160"/>
    </row>
    <row r="563" spans="2:2" ht="15.75" customHeight="1">
      <c r="B563" s="160"/>
    </row>
    <row r="564" spans="2:2" ht="15.75" customHeight="1">
      <c r="B564" s="160"/>
    </row>
    <row r="565" spans="2:2" ht="15.75" customHeight="1">
      <c r="B565" s="160"/>
    </row>
    <row r="566" spans="2:2" ht="15.75" customHeight="1">
      <c r="B566" s="160"/>
    </row>
    <row r="567" spans="2:2" ht="15.75" customHeight="1">
      <c r="B567" s="160"/>
    </row>
    <row r="568" spans="2:2" ht="15.75" customHeight="1">
      <c r="B568" s="160"/>
    </row>
    <row r="569" spans="2:2" ht="15.75" customHeight="1">
      <c r="B569" s="160"/>
    </row>
    <row r="570" spans="2:2" ht="15.75" customHeight="1">
      <c r="B570" s="160"/>
    </row>
    <row r="571" spans="2:2" ht="15.75" customHeight="1">
      <c r="B571" s="160"/>
    </row>
    <row r="572" spans="2:2" ht="15.75" customHeight="1">
      <c r="B572" s="160"/>
    </row>
    <row r="573" spans="2:2" ht="15.75" customHeight="1">
      <c r="B573" s="160"/>
    </row>
    <row r="574" spans="2:2" ht="15.75" customHeight="1">
      <c r="B574" s="160"/>
    </row>
    <row r="575" spans="2:2" ht="15.75" customHeight="1">
      <c r="B575" s="160"/>
    </row>
    <row r="576" spans="2:2" ht="15.75" customHeight="1">
      <c r="B576" s="160"/>
    </row>
    <row r="577" spans="2:2" ht="15.75" customHeight="1">
      <c r="B577" s="160"/>
    </row>
    <row r="578" spans="2:2" ht="15.75" customHeight="1">
      <c r="B578" s="160"/>
    </row>
    <row r="579" spans="2:2" ht="15.75" customHeight="1">
      <c r="B579" s="160"/>
    </row>
    <row r="580" spans="2:2" ht="15.75" customHeight="1">
      <c r="B580" s="160"/>
    </row>
    <row r="581" spans="2:2" ht="15.75" customHeight="1">
      <c r="B581" s="160"/>
    </row>
    <row r="582" spans="2:2" ht="15.75" customHeight="1">
      <c r="B582" s="160"/>
    </row>
    <row r="583" spans="2:2" ht="15.75" customHeight="1">
      <c r="B583" s="160"/>
    </row>
    <row r="584" spans="2:2" ht="15.75" customHeight="1">
      <c r="B584" s="160"/>
    </row>
    <row r="585" spans="2:2" ht="15.75" customHeight="1">
      <c r="B585" s="160"/>
    </row>
    <row r="586" spans="2:2" ht="15.75" customHeight="1">
      <c r="B586" s="160"/>
    </row>
    <row r="587" spans="2:2" ht="15.75" customHeight="1">
      <c r="B587" s="160"/>
    </row>
    <row r="588" spans="2:2" ht="15.75" customHeight="1">
      <c r="B588" s="160"/>
    </row>
    <row r="589" spans="2:2" ht="15.75" customHeight="1">
      <c r="B589" s="160"/>
    </row>
    <row r="590" spans="2:2" ht="15.75" customHeight="1">
      <c r="B590" s="160"/>
    </row>
    <row r="591" spans="2:2" ht="15.75" customHeight="1">
      <c r="B591" s="160"/>
    </row>
    <row r="592" spans="2:2" ht="15.75" customHeight="1">
      <c r="B592" s="160"/>
    </row>
    <row r="593" spans="2:2" ht="15.75" customHeight="1">
      <c r="B593" s="160"/>
    </row>
    <row r="594" spans="2:2" ht="15.75" customHeight="1">
      <c r="B594" s="160"/>
    </row>
    <row r="595" spans="2:2" ht="15.75" customHeight="1">
      <c r="B595" s="160"/>
    </row>
    <row r="596" spans="2:2" ht="15.75" customHeight="1">
      <c r="B596" s="160"/>
    </row>
    <row r="597" spans="2:2" ht="15.75" customHeight="1">
      <c r="B597" s="160"/>
    </row>
    <row r="598" spans="2:2" ht="15.75" customHeight="1">
      <c r="B598" s="160"/>
    </row>
    <row r="599" spans="2:2" ht="15.75" customHeight="1">
      <c r="B599" s="160"/>
    </row>
    <row r="600" spans="2:2" ht="15.75" customHeight="1">
      <c r="B600" s="160"/>
    </row>
    <row r="601" spans="2:2" ht="15.75" customHeight="1">
      <c r="B601" s="160"/>
    </row>
    <row r="602" spans="2:2" ht="15.75" customHeight="1">
      <c r="B602" s="160"/>
    </row>
    <row r="603" spans="2:2" ht="15.75" customHeight="1">
      <c r="B603" s="160"/>
    </row>
    <row r="604" spans="2:2" ht="15.75" customHeight="1">
      <c r="B604" s="160"/>
    </row>
    <row r="605" spans="2:2" ht="15.75" customHeight="1">
      <c r="B605" s="160"/>
    </row>
    <row r="606" spans="2:2" ht="15.75" customHeight="1">
      <c r="B606" s="160"/>
    </row>
    <row r="607" spans="2:2" ht="15.75" customHeight="1">
      <c r="B607" s="160"/>
    </row>
    <row r="608" spans="2:2" ht="15.75" customHeight="1">
      <c r="B608" s="160"/>
    </row>
    <row r="609" spans="2:2" ht="15.75" customHeight="1">
      <c r="B609" s="160"/>
    </row>
    <row r="610" spans="2:2" ht="15.75" customHeight="1">
      <c r="B610" s="160"/>
    </row>
    <row r="611" spans="2:2" ht="15.75" customHeight="1">
      <c r="B611" s="160"/>
    </row>
    <row r="612" spans="2:2" ht="15.75" customHeight="1">
      <c r="B612" s="160"/>
    </row>
    <row r="613" spans="2:2" ht="15.75" customHeight="1">
      <c r="B613" s="160"/>
    </row>
    <row r="614" spans="2:2" ht="15.75" customHeight="1">
      <c r="B614" s="160"/>
    </row>
    <row r="615" spans="2:2" ht="15.75" customHeight="1">
      <c r="B615" s="160"/>
    </row>
    <row r="616" spans="2:2" ht="15.75" customHeight="1">
      <c r="B616" s="160"/>
    </row>
    <row r="617" spans="2:2" ht="15.75" customHeight="1">
      <c r="B617" s="160"/>
    </row>
    <row r="618" spans="2:2" ht="15.75" customHeight="1">
      <c r="B618" s="160"/>
    </row>
    <row r="619" spans="2:2" ht="15.75" customHeight="1">
      <c r="B619" s="160"/>
    </row>
    <row r="620" spans="2:2" ht="15.75" customHeight="1">
      <c r="B620" s="160"/>
    </row>
    <row r="621" spans="2:2" ht="15.75" customHeight="1">
      <c r="B621" s="160"/>
    </row>
    <row r="622" spans="2:2" ht="15.75" customHeight="1">
      <c r="B622" s="160"/>
    </row>
    <row r="623" spans="2:2" ht="15.75" customHeight="1">
      <c r="B623" s="160"/>
    </row>
    <row r="624" spans="2:2" ht="15.75" customHeight="1">
      <c r="B624" s="160"/>
    </row>
    <row r="625" spans="2:2" ht="15.75" customHeight="1">
      <c r="B625" s="160"/>
    </row>
    <row r="626" spans="2:2" ht="15.75" customHeight="1">
      <c r="B626" s="160"/>
    </row>
    <row r="627" spans="2:2" ht="15.75" customHeight="1">
      <c r="B627" s="160"/>
    </row>
    <row r="628" spans="2:2" ht="15.75" customHeight="1">
      <c r="B628" s="160"/>
    </row>
    <row r="629" spans="2:2" ht="15.75" customHeight="1">
      <c r="B629" s="160"/>
    </row>
    <row r="630" spans="2:2" ht="15.75" customHeight="1">
      <c r="B630" s="160"/>
    </row>
    <row r="631" spans="2:2" ht="15.75" customHeight="1">
      <c r="B631" s="160"/>
    </row>
    <row r="632" spans="2:2" ht="15.75" customHeight="1">
      <c r="B632" s="160"/>
    </row>
    <row r="633" spans="2:2" ht="15.75" customHeight="1">
      <c r="B633" s="160"/>
    </row>
    <row r="634" spans="2:2" ht="15.75" customHeight="1">
      <c r="B634" s="160"/>
    </row>
    <row r="635" spans="2:2" ht="15.75" customHeight="1">
      <c r="B635" s="160"/>
    </row>
    <row r="636" spans="2:2" ht="15.75" customHeight="1">
      <c r="B636" s="160"/>
    </row>
    <row r="637" spans="2:2" ht="15.75" customHeight="1">
      <c r="B637" s="160"/>
    </row>
    <row r="638" spans="2:2" ht="15.75" customHeight="1">
      <c r="B638" s="160"/>
    </row>
    <row r="639" spans="2:2" ht="15.75" customHeight="1">
      <c r="B639" s="160"/>
    </row>
    <row r="640" spans="2:2" ht="15.75" customHeight="1">
      <c r="B640" s="160"/>
    </row>
    <row r="641" spans="2:2" ht="15.75" customHeight="1">
      <c r="B641" s="160"/>
    </row>
    <row r="642" spans="2:2" ht="15.75" customHeight="1">
      <c r="B642" s="160"/>
    </row>
    <row r="643" spans="2:2" ht="15.75" customHeight="1">
      <c r="B643" s="160"/>
    </row>
    <row r="644" spans="2:2" ht="15.75" customHeight="1">
      <c r="B644" s="160"/>
    </row>
    <row r="645" spans="2:2" ht="15.75" customHeight="1">
      <c r="B645" s="160"/>
    </row>
    <row r="646" spans="2:2" ht="15.75" customHeight="1">
      <c r="B646" s="160"/>
    </row>
    <row r="647" spans="2:2" ht="15.75" customHeight="1">
      <c r="B647" s="160"/>
    </row>
    <row r="648" spans="2:2" ht="15.75" customHeight="1">
      <c r="B648" s="160"/>
    </row>
    <row r="649" spans="2:2" ht="15.75" customHeight="1">
      <c r="B649" s="160"/>
    </row>
    <row r="650" spans="2:2" ht="15.75" customHeight="1">
      <c r="B650" s="160"/>
    </row>
    <row r="651" spans="2:2" ht="15.75" customHeight="1">
      <c r="B651" s="160"/>
    </row>
    <row r="652" spans="2:2" ht="15.75" customHeight="1">
      <c r="B652" s="160"/>
    </row>
    <row r="653" spans="2:2" ht="15.75" customHeight="1">
      <c r="B653" s="160"/>
    </row>
    <row r="654" spans="2:2" ht="15.75" customHeight="1">
      <c r="B654" s="160"/>
    </row>
    <row r="655" spans="2:2" ht="15.75" customHeight="1">
      <c r="B655" s="160"/>
    </row>
    <row r="656" spans="2:2" ht="15.75" customHeight="1">
      <c r="B656" s="160"/>
    </row>
    <row r="657" spans="2:2" ht="15.75" customHeight="1">
      <c r="B657" s="160"/>
    </row>
    <row r="658" spans="2:2" ht="15.75" customHeight="1">
      <c r="B658" s="160"/>
    </row>
    <row r="659" spans="2:2" ht="15.75" customHeight="1">
      <c r="B659" s="160"/>
    </row>
    <row r="660" spans="2:2" ht="15.75" customHeight="1">
      <c r="B660" s="160"/>
    </row>
    <row r="661" spans="2:2" ht="15.75" customHeight="1">
      <c r="B661" s="160"/>
    </row>
    <row r="662" spans="2:2" ht="15.75" customHeight="1">
      <c r="B662" s="160"/>
    </row>
    <row r="663" spans="2:2" ht="15.75" customHeight="1">
      <c r="B663" s="160"/>
    </row>
    <row r="664" spans="2:2" ht="15.75" customHeight="1">
      <c r="B664" s="160"/>
    </row>
    <row r="665" spans="2:2" ht="15.75" customHeight="1">
      <c r="B665" s="160"/>
    </row>
    <row r="666" spans="2:2" ht="15.75" customHeight="1">
      <c r="B666" s="160"/>
    </row>
    <row r="667" spans="2:2" ht="15.75" customHeight="1">
      <c r="B667" s="160"/>
    </row>
    <row r="668" spans="2:2" ht="15.75" customHeight="1">
      <c r="B668" s="160"/>
    </row>
    <row r="669" spans="2:2" ht="15.75" customHeight="1">
      <c r="B669" s="160"/>
    </row>
    <row r="670" spans="2:2" ht="15.75" customHeight="1">
      <c r="B670" s="160"/>
    </row>
    <row r="671" spans="2:2" ht="15.75" customHeight="1">
      <c r="B671" s="160"/>
    </row>
    <row r="672" spans="2:2" ht="15.75" customHeight="1">
      <c r="B672" s="160"/>
    </row>
    <row r="673" spans="2:2" ht="15.75" customHeight="1">
      <c r="B673" s="160"/>
    </row>
    <row r="674" spans="2:2" ht="15.75" customHeight="1">
      <c r="B674" s="160"/>
    </row>
    <row r="675" spans="2:2" ht="15.75" customHeight="1">
      <c r="B675" s="160"/>
    </row>
    <row r="676" spans="2:2" ht="15.75" customHeight="1">
      <c r="B676" s="160"/>
    </row>
    <row r="677" spans="2:2" ht="15.75" customHeight="1">
      <c r="B677" s="160"/>
    </row>
    <row r="678" spans="2:2" ht="15.75" customHeight="1">
      <c r="B678" s="160"/>
    </row>
    <row r="679" spans="2:2" ht="15.75" customHeight="1">
      <c r="B679" s="160"/>
    </row>
    <row r="680" spans="2:2" ht="15.75" customHeight="1">
      <c r="B680" s="160"/>
    </row>
    <row r="681" spans="2:2" ht="15.75" customHeight="1">
      <c r="B681" s="160"/>
    </row>
    <row r="682" spans="2:2" ht="15.75" customHeight="1">
      <c r="B682" s="160"/>
    </row>
    <row r="683" spans="2:2" ht="15.75" customHeight="1">
      <c r="B683" s="160"/>
    </row>
    <row r="684" spans="2:2" ht="15.75" customHeight="1">
      <c r="B684" s="160"/>
    </row>
    <row r="685" spans="2:2" ht="15.75" customHeight="1">
      <c r="B685" s="160"/>
    </row>
    <row r="686" spans="2:2" ht="15.75" customHeight="1">
      <c r="B686" s="160"/>
    </row>
    <row r="687" spans="2:2" ht="15.75" customHeight="1">
      <c r="B687" s="160"/>
    </row>
    <row r="688" spans="2:2" ht="15.75" customHeight="1">
      <c r="B688" s="160"/>
    </row>
    <row r="689" spans="2:2" ht="15.75" customHeight="1">
      <c r="B689" s="160"/>
    </row>
    <row r="690" spans="2:2" ht="15.75" customHeight="1">
      <c r="B690" s="160"/>
    </row>
    <row r="691" spans="2:2" ht="15.75" customHeight="1">
      <c r="B691" s="160"/>
    </row>
    <row r="692" spans="2:2" ht="15.75" customHeight="1">
      <c r="B692" s="160"/>
    </row>
    <row r="693" spans="2:2" ht="15.75" customHeight="1">
      <c r="B693" s="160"/>
    </row>
    <row r="694" spans="2:2" ht="15.75" customHeight="1">
      <c r="B694" s="160"/>
    </row>
    <row r="695" spans="2:2" ht="15.75" customHeight="1">
      <c r="B695" s="160"/>
    </row>
    <row r="696" spans="2:2" ht="15.75" customHeight="1">
      <c r="B696" s="160"/>
    </row>
    <row r="697" spans="2:2" ht="15.75" customHeight="1">
      <c r="B697" s="160"/>
    </row>
    <row r="698" spans="2:2" ht="15.75" customHeight="1">
      <c r="B698" s="160"/>
    </row>
    <row r="699" spans="2:2" ht="15.75" customHeight="1">
      <c r="B699" s="160"/>
    </row>
    <row r="700" spans="2:2" ht="15.75" customHeight="1">
      <c r="B700" s="160"/>
    </row>
    <row r="701" spans="2:2" ht="15.75" customHeight="1">
      <c r="B701" s="160"/>
    </row>
    <row r="702" spans="2:2" ht="15.75" customHeight="1">
      <c r="B702" s="160"/>
    </row>
    <row r="703" spans="2:2" ht="15.75" customHeight="1">
      <c r="B703" s="160"/>
    </row>
    <row r="704" spans="2:2" ht="15.75" customHeight="1">
      <c r="B704" s="160"/>
    </row>
    <row r="705" spans="2:2" ht="15.75" customHeight="1">
      <c r="B705" s="160"/>
    </row>
    <row r="706" spans="2:2" ht="15.75" customHeight="1">
      <c r="B706" s="160"/>
    </row>
    <row r="707" spans="2:2" ht="15.75" customHeight="1">
      <c r="B707" s="160"/>
    </row>
    <row r="708" spans="2:2" ht="15.75" customHeight="1">
      <c r="B708" s="160"/>
    </row>
    <row r="709" spans="2:2" ht="15.75" customHeight="1">
      <c r="B709" s="160"/>
    </row>
    <row r="710" spans="2:2" ht="15.75" customHeight="1">
      <c r="B710" s="160"/>
    </row>
    <row r="711" spans="2:2" ht="15.75" customHeight="1">
      <c r="B711" s="160"/>
    </row>
    <row r="712" spans="2:2" ht="15.75" customHeight="1">
      <c r="B712" s="160"/>
    </row>
    <row r="713" spans="2:2" ht="15.75" customHeight="1">
      <c r="B713" s="160"/>
    </row>
    <row r="714" spans="2:2" ht="15.75" customHeight="1">
      <c r="B714" s="160"/>
    </row>
    <row r="715" spans="2:2" ht="15.75" customHeight="1">
      <c r="B715" s="160"/>
    </row>
    <row r="716" spans="2:2" ht="15.75" customHeight="1">
      <c r="B716" s="160"/>
    </row>
    <row r="717" spans="2:2" ht="15.75" customHeight="1">
      <c r="B717" s="160"/>
    </row>
    <row r="718" spans="2:2" ht="15.75" customHeight="1">
      <c r="B718" s="160"/>
    </row>
    <row r="719" spans="2:2" ht="15.75" customHeight="1">
      <c r="B719" s="160"/>
    </row>
    <row r="720" spans="2:2" ht="15.75" customHeight="1">
      <c r="B720" s="160"/>
    </row>
    <row r="721" spans="2:2" ht="15.75" customHeight="1">
      <c r="B721" s="160"/>
    </row>
    <row r="722" spans="2:2" ht="15.75" customHeight="1">
      <c r="B722" s="160"/>
    </row>
    <row r="723" spans="2:2" ht="15.75" customHeight="1">
      <c r="B723" s="160"/>
    </row>
    <row r="724" spans="2:2" ht="15.75" customHeight="1">
      <c r="B724" s="160"/>
    </row>
    <row r="725" spans="2:2" ht="15.75" customHeight="1">
      <c r="B725" s="160"/>
    </row>
    <row r="726" spans="2:2" ht="15.75" customHeight="1">
      <c r="B726" s="160"/>
    </row>
    <row r="727" spans="2:2" ht="15.75" customHeight="1">
      <c r="B727" s="160"/>
    </row>
    <row r="728" spans="2:2" ht="15.75" customHeight="1">
      <c r="B728" s="160"/>
    </row>
    <row r="729" spans="2:2" ht="15.75" customHeight="1">
      <c r="B729" s="160"/>
    </row>
    <row r="730" spans="2:2" ht="15.75" customHeight="1">
      <c r="B730" s="160"/>
    </row>
    <row r="731" spans="2:2" ht="15.75" customHeight="1">
      <c r="B731" s="160"/>
    </row>
    <row r="732" spans="2:2" ht="15.75" customHeight="1">
      <c r="B732" s="160"/>
    </row>
    <row r="733" spans="2:2" ht="15.75" customHeight="1">
      <c r="B733" s="160"/>
    </row>
    <row r="734" spans="2:2" ht="15.75" customHeight="1">
      <c r="B734" s="160"/>
    </row>
    <row r="735" spans="2:2" ht="15.75" customHeight="1">
      <c r="B735" s="160"/>
    </row>
    <row r="736" spans="2:2" ht="15.75" customHeight="1">
      <c r="B736" s="160"/>
    </row>
    <row r="737" spans="2:2" ht="15.75" customHeight="1">
      <c r="B737" s="160"/>
    </row>
    <row r="738" spans="2:2" ht="15.75" customHeight="1">
      <c r="B738" s="160"/>
    </row>
    <row r="739" spans="2:2" ht="15.75" customHeight="1">
      <c r="B739" s="160"/>
    </row>
    <row r="740" spans="2:2" ht="15.75" customHeight="1">
      <c r="B740" s="160"/>
    </row>
    <row r="741" spans="2:2" ht="15.75" customHeight="1">
      <c r="B741" s="160"/>
    </row>
    <row r="742" spans="2:2" ht="15.75" customHeight="1">
      <c r="B742" s="160"/>
    </row>
    <row r="743" spans="2:2" ht="15.75" customHeight="1">
      <c r="B743" s="160"/>
    </row>
    <row r="744" spans="2:2" ht="15.75" customHeight="1">
      <c r="B744" s="160"/>
    </row>
    <row r="745" spans="2:2" ht="15.75" customHeight="1">
      <c r="B745" s="160"/>
    </row>
    <row r="746" spans="2:2" ht="15.75" customHeight="1">
      <c r="B746" s="160"/>
    </row>
    <row r="747" spans="2:2" ht="15.75" customHeight="1">
      <c r="B747" s="160"/>
    </row>
    <row r="748" spans="2:2" ht="15.75" customHeight="1">
      <c r="B748" s="160"/>
    </row>
    <row r="749" spans="2:2" ht="15.75" customHeight="1">
      <c r="B749" s="160"/>
    </row>
    <row r="750" spans="2:2" ht="15.75" customHeight="1">
      <c r="B750" s="160"/>
    </row>
    <row r="751" spans="2:2" ht="15.75" customHeight="1">
      <c r="B751" s="160"/>
    </row>
    <row r="752" spans="2:2" ht="15.75" customHeight="1">
      <c r="B752" s="160"/>
    </row>
    <row r="753" spans="2:2" ht="15.75" customHeight="1">
      <c r="B753" s="160"/>
    </row>
    <row r="754" spans="2:2" ht="15.75" customHeight="1">
      <c r="B754" s="160"/>
    </row>
    <row r="755" spans="2:2" ht="15.75" customHeight="1">
      <c r="B755" s="160"/>
    </row>
    <row r="756" spans="2:2" ht="15.75" customHeight="1">
      <c r="B756" s="160"/>
    </row>
    <row r="757" spans="2:2" ht="15.75" customHeight="1">
      <c r="B757" s="160"/>
    </row>
    <row r="758" spans="2:2" ht="15.75" customHeight="1">
      <c r="B758" s="160"/>
    </row>
    <row r="759" spans="2:2" ht="15.75" customHeight="1">
      <c r="B759" s="160"/>
    </row>
    <row r="760" spans="2:2" ht="15.75" customHeight="1">
      <c r="B760" s="160"/>
    </row>
    <row r="761" spans="2:2" ht="15.75" customHeight="1">
      <c r="B761" s="160"/>
    </row>
    <row r="762" spans="2:2" ht="15.75" customHeight="1">
      <c r="B762" s="160"/>
    </row>
    <row r="763" spans="2:2" ht="15.75" customHeight="1">
      <c r="B763" s="160"/>
    </row>
    <row r="764" spans="2:2" ht="15.75" customHeight="1">
      <c r="B764" s="160"/>
    </row>
    <row r="765" spans="2:2" ht="15.75" customHeight="1">
      <c r="B765" s="160"/>
    </row>
    <row r="766" spans="2:2" ht="15.75" customHeight="1">
      <c r="B766" s="160"/>
    </row>
    <row r="767" spans="2:2" ht="15.75" customHeight="1">
      <c r="B767" s="160"/>
    </row>
    <row r="768" spans="2:2" ht="15.75" customHeight="1">
      <c r="B768" s="160"/>
    </row>
    <row r="769" spans="2:2" ht="15.75" customHeight="1">
      <c r="B769" s="160"/>
    </row>
    <row r="770" spans="2:2" ht="15.75" customHeight="1">
      <c r="B770" s="160"/>
    </row>
    <row r="771" spans="2:2" ht="15.75" customHeight="1">
      <c r="B771" s="160"/>
    </row>
    <row r="772" spans="2:2" ht="15.75" customHeight="1">
      <c r="B772" s="160"/>
    </row>
    <row r="773" spans="2:2" ht="15.75" customHeight="1">
      <c r="B773" s="160"/>
    </row>
    <row r="774" spans="2:2" ht="15.75" customHeight="1">
      <c r="B774" s="160"/>
    </row>
    <row r="775" spans="2:2" ht="15.75" customHeight="1">
      <c r="B775" s="160"/>
    </row>
    <row r="776" spans="2:2" ht="15.75" customHeight="1">
      <c r="B776" s="160"/>
    </row>
    <row r="777" spans="2:2" ht="15.75" customHeight="1">
      <c r="B777" s="160"/>
    </row>
    <row r="778" spans="2:2" ht="15.75" customHeight="1">
      <c r="B778" s="160"/>
    </row>
    <row r="779" spans="2:2" ht="15.75" customHeight="1">
      <c r="B779" s="160"/>
    </row>
    <row r="780" spans="2:2" ht="15.75" customHeight="1">
      <c r="B780" s="160"/>
    </row>
    <row r="781" spans="2:2" ht="15.75" customHeight="1">
      <c r="B781" s="160"/>
    </row>
    <row r="782" spans="2:2" ht="15.75" customHeight="1">
      <c r="B782" s="160"/>
    </row>
    <row r="783" spans="2:2" ht="15.75" customHeight="1">
      <c r="B783" s="160"/>
    </row>
    <row r="784" spans="2:2" ht="15.75" customHeight="1">
      <c r="B784" s="160"/>
    </row>
    <row r="785" spans="2:2" ht="15.75" customHeight="1">
      <c r="B785" s="160"/>
    </row>
    <row r="786" spans="2:2" ht="15.75" customHeight="1">
      <c r="B786" s="160"/>
    </row>
    <row r="787" spans="2:2" ht="15.75" customHeight="1">
      <c r="B787" s="160"/>
    </row>
    <row r="788" spans="2:2" ht="15.75" customHeight="1">
      <c r="B788" s="160"/>
    </row>
    <row r="789" spans="2:2" ht="15.75" customHeight="1">
      <c r="B789" s="160"/>
    </row>
    <row r="790" spans="2:2" ht="15.75" customHeight="1">
      <c r="B790" s="160"/>
    </row>
    <row r="791" spans="2:2" ht="15.75" customHeight="1">
      <c r="B791" s="160"/>
    </row>
    <row r="792" spans="2:2" ht="15.75" customHeight="1">
      <c r="B792" s="160"/>
    </row>
    <row r="793" spans="2:2" ht="15.75" customHeight="1">
      <c r="B793" s="160"/>
    </row>
    <row r="794" spans="2:2" ht="15.75" customHeight="1">
      <c r="B794" s="160"/>
    </row>
    <row r="795" spans="2:2" ht="15.75" customHeight="1">
      <c r="B795" s="160"/>
    </row>
    <row r="796" spans="2:2" ht="15.75" customHeight="1">
      <c r="B796" s="160"/>
    </row>
    <row r="797" spans="2:2" ht="15.75" customHeight="1">
      <c r="B797" s="160"/>
    </row>
    <row r="798" spans="2:2" ht="15.75" customHeight="1">
      <c r="B798" s="160"/>
    </row>
    <row r="799" spans="2:2" ht="15.75" customHeight="1">
      <c r="B799" s="160"/>
    </row>
    <row r="800" spans="2:2" ht="15.75" customHeight="1">
      <c r="B800" s="160"/>
    </row>
    <row r="801" spans="2:2" ht="15.75" customHeight="1">
      <c r="B801" s="160"/>
    </row>
    <row r="802" spans="2:2" ht="15.75" customHeight="1">
      <c r="B802" s="160"/>
    </row>
    <row r="803" spans="2:2" ht="15.75" customHeight="1">
      <c r="B803" s="160"/>
    </row>
    <row r="804" spans="2:2" ht="15.75" customHeight="1">
      <c r="B804" s="160"/>
    </row>
    <row r="805" spans="2:2" ht="15.75" customHeight="1">
      <c r="B805" s="160"/>
    </row>
    <row r="806" spans="2:2" ht="15.75" customHeight="1">
      <c r="B806" s="160"/>
    </row>
    <row r="807" spans="2:2" ht="15.75" customHeight="1">
      <c r="B807" s="160"/>
    </row>
    <row r="808" spans="2:2" ht="15.75" customHeight="1">
      <c r="B808" s="160"/>
    </row>
    <row r="809" spans="2:2" ht="15.75" customHeight="1">
      <c r="B809" s="160"/>
    </row>
    <row r="810" spans="2:2" ht="15.75" customHeight="1">
      <c r="B810" s="160"/>
    </row>
    <row r="811" spans="2:2" ht="15.75" customHeight="1">
      <c r="B811" s="160"/>
    </row>
    <row r="812" spans="2:2" ht="15.75" customHeight="1">
      <c r="B812" s="160"/>
    </row>
    <row r="813" spans="2:2" ht="15.75" customHeight="1">
      <c r="B813" s="160"/>
    </row>
    <row r="814" spans="2:2" ht="15.75" customHeight="1">
      <c r="B814" s="160"/>
    </row>
    <row r="815" spans="2:2" ht="15.75" customHeight="1">
      <c r="B815" s="160"/>
    </row>
    <row r="816" spans="2:2" ht="15.75" customHeight="1">
      <c r="B816" s="160"/>
    </row>
    <row r="817" spans="2:2" ht="15.75" customHeight="1">
      <c r="B817" s="160"/>
    </row>
    <row r="818" spans="2:2" ht="15.75" customHeight="1">
      <c r="B818" s="160"/>
    </row>
    <row r="819" spans="2:2" ht="15.75" customHeight="1">
      <c r="B819" s="160"/>
    </row>
    <row r="820" spans="2:2" ht="15.75" customHeight="1">
      <c r="B820" s="160"/>
    </row>
    <row r="821" spans="2:2" ht="15.75" customHeight="1">
      <c r="B821" s="160"/>
    </row>
    <row r="822" spans="2:2" ht="15.75" customHeight="1">
      <c r="B822" s="160"/>
    </row>
    <row r="823" spans="2:2" ht="15.75" customHeight="1">
      <c r="B823" s="160"/>
    </row>
    <row r="824" spans="2:2" ht="15.75" customHeight="1">
      <c r="B824" s="160"/>
    </row>
    <row r="825" spans="2:2" ht="15.75" customHeight="1">
      <c r="B825" s="160"/>
    </row>
    <row r="826" spans="2:2" ht="15.75" customHeight="1">
      <c r="B826" s="160"/>
    </row>
    <row r="827" spans="2:2" ht="15.75" customHeight="1">
      <c r="B827" s="160"/>
    </row>
    <row r="828" spans="2:2" ht="15.75" customHeight="1">
      <c r="B828" s="160"/>
    </row>
    <row r="829" spans="2:2" ht="15.75" customHeight="1">
      <c r="B829" s="160"/>
    </row>
    <row r="830" spans="2:2" ht="15.75" customHeight="1">
      <c r="B830" s="160"/>
    </row>
    <row r="831" spans="2:2" ht="15.75" customHeight="1">
      <c r="B831" s="160"/>
    </row>
    <row r="832" spans="2:2" ht="15.75" customHeight="1">
      <c r="B832" s="160"/>
    </row>
    <row r="833" spans="2:2" ht="15.75" customHeight="1">
      <c r="B833" s="160"/>
    </row>
    <row r="834" spans="2:2" ht="15.75" customHeight="1">
      <c r="B834" s="160"/>
    </row>
    <row r="835" spans="2:2" ht="15.75" customHeight="1">
      <c r="B835" s="160"/>
    </row>
    <row r="836" spans="2:2" ht="15.75" customHeight="1">
      <c r="B836" s="160"/>
    </row>
    <row r="837" spans="2:2" ht="15.75" customHeight="1">
      <c r="B837" s="160"/>
    </row>
    <row r="838" spans="2:2" ht="15.75" customHeight="1">
      <c r="B838" s="160"/>
    </row>
    <row r="839" spans="2:2" ht="15.75" customHeight="1">
      <c r="B839" s="160"/>
    </row>
    <row r="840" spans="2:2" ht="15.75" customHeight="1">
      <c r="B840" s="160"/>
    </row>
    <row r="841" spans="2:2" ht="15.75" customHeight="1">
      <c r="B841" s="160"/>
    </row>
    <row r="842" spans="2:2" ht="15.75" customHeight="1">
      <c r="B842" s="160"/>
    </row>
    <row r="843" spans="2:2" ht="15.75" customHeight="1">
      <c r="B843" s="160"/>
    </row>
    <row r="844" spans="2:2" ht="15.75" customHeight="1">
      <c r="B844" s="160"/>
    </row>
    <row r="845" spans="2:2" ht="15.75" customHeight="1">
      <c r="B845" s="160"/>
    </row>
    <row r="846" spans="2:2" ht="15.75" customHeight="1">
      <c r="B846" s="160"/>
    </row>
    <row r="847" spans="2:2" ht="15.75" customHeight="1">
      <c r="B847" s="160"/>
    </row>
    <row r="848" spans="2:2" ht="15.75" customHeight="1">
      <c r="B848" s="160"/>
    </row>
    <row r="849" spans="2:2" ht="15.75" customHeight="1">
      <c r="B849" s="160"/>
    </row>
    <row r="850" spans="2:2" ht="15.75" customHeight="1">
      <c r="B850" s="160"/>
    </row>
    <row r="851" spans="2:2" ht="15.75" customHeight="1">
      <c r="B851" s="160"/>
    </row>
    <row r="852" spans="2:2" ht="15.75" customHeight="1">
      <c r="B852" s="160"/>
    </row>
    <row r="853" spans="2:2" ht="15.75" customHeight="1">
      <c r="B853" s="160"/>
    </row>
    <row r="854" spans="2:2" ht="15.75" customHeight="1">
      <c r="B854" s="160"/>
    </row>
    <row r="855" spans="2:2" ht="15.75" customHeight="1">
      <c r="B855" s="160"/>
    </row>
    <row r="856" spans="2:2" ht="15.75" customHeight="1">
      <c r="B856" s="160"/>
    </row>
    <row r="857" spans="2:2" ht="15.75" customHeight="1">
      <c r="B857" s="160"/>
    </row>
    <row r="858" spans="2:2" ht="15.75" customHeight="1">
      <c r="B858" s="160"/>
    </row>
    <row r="859" spans="2:2" ht="15.75" customHeight="1">
      <c r="B859" s="160"/>
    </row>
    <row r="860" spans="2:2" ht="15.75" customHeight="1">
      <c r="B860" s="160"/>
    </row>
    <row r="861" spans="2:2" ht="15.75" customHeight="1">
      <c r="B861" s="160"/>
    </row>
    <row r="862" spans="2:2" ht="15.75" customHeight="1">
      <c r="B862" s="160"/>
    </row>
    <row r="863" spans="2:2" ht="15.75" customHeight="1">
      <c r="B863" s="160"/>
    </row>
    <row r="864" spans="2:2" ht="15.75" customHeight="1">
      <c r="B864" s="160"/>
    </row>
    <row r="865" spans="2:2" ht="15.75" customHeight="1">
      <c r="B865" s="160"/>
    </row>
    <row r="866" spans="2:2" ht="15.75" customHeight="1">
      <c r="B866" s="160"/>
    </row>
    <row r="867" spans="2:2" ht="15.75" customHeight="1">
      <c r="B867" s="160"/>
    </row>
    <row r="868" spans="2:2" ht="15.75" customHeight="1">
      <c r="B868" s="160"/>
    </row>
    <row r="869" spans="2:2" ht="15.75" customHeight="1">
      <c r="B869" s="160"/>
    </row>
    <row r="870" spans="2:2" ht="15.75" customHeight="1">
      <c r="B870" s="160"/>
    </row>
    <row r="871" spans="2:2" ht="15.75" customHeight="1">
      <c r="B871" s="160"/>
    </row>
    <row r="872" spans="2:2" ht="15.75" customHeight="1">
      <c r="B872" s="160"/>
    </row>
    <row r="873" spans="2:2" ht="15.75" customHeight="1">
      <c r="B873" s="160"/>
    </row>
    <row r="874" spans="2:2" ht="15.75" customHeight="1">
      <c r="B874" s="160"/>
    </row>
    <row r="875" spans="2:2" ht="15.75" customHeight="1">
      <c r="B875" s="160"/>
    </row>
    <row r="876" spans="2:2" ht="15.75" customHeight="1">
      <c r="B876" s="160"/>
    </row>
    <row r="877" spans="2:2" ht="15.75" customHeight="1">
      <c r="B877" s="160"/>
    </row>
    <row r="878" spans="2:2" ht="15.75" customHeight="1">
      <c r="B878" s="160"/>
    </row>
    <row r="879" spans="2:2" ht="15.75" customHeight="1">
      <c r="B879" s="160"/>
    </row>
    <row r="880" spans="2:2" ht="15.75" customHeight="1">
      <c r="B880" s="160"/>
    </row>
    <row r="881" spans="2:2" ht="15.75" customHeight="1">
      <c r="B881" s="160"/>
    </row>
    <row r="882" spans="2:2" ht="15.75" customHeight="1">
      <c r="B882" s="160"/>
    </row>
    <row r="883" spans="2:2" ht="15.75" customHeight="1">
      <c r="B883" s="160"/>
    </row>
    <row r="884" spans="2:2" ht="15.75" customHeight="1">
      <c r="B884" s="160"/>
    </row>
    <row r="885" spans="2:2" ht="15.75" customHeight="1">
      <c r="B885" s="160"/>
    </row>
    <row r="886" spans="2:2" ht="15.75" customHeight="1">
      <c r="B886" s="160"/>
    </row>
    <row r="887" spans="2:2" ht="15.75" customHeight="1">
      <c r="B887" s="160"/>
    </row>
    <row r="888" spans="2:2" ht="15.75" customHeight="1">
      <c r="B888" s="160"/>
    </row>
    <row r="889" spans="2:2" ht="15.75" customHeight="1">
      <c r="B889" s="160"/>
    </row>
    <row r="890" spans="2:2" ht="15.75" customHeight="1">
      <c r="B890" s="160"/>
    </row>
    <row r="891" spans="2:2" ht="15.75" customHeight="1">
      <c r="B891" s="160"/>
    </row>
    <row r="892" spans="2:2" ht="15.75" customHeight="1">
      <c r="B892" s="160"/>
    </row>
    <row r="893" spans="2:2" ht="15.75" customHeight="1">
      <c r="B893" s="160"/>
    </row>
    <row r="894" spans="2:2" ht="15.75" customHeight="1">
      <c r="B894" s="160"/>
    </row>
    <row r="895" spans="2:2" ht="15.75" customHeight="1">
      <c r="B895" s="160"/>
    </row>
    <row r="896" spans="2:2" ht="15.75" customHeight="1">
      <c r="B896" s="160"/>
    </row>
    <row r="897" spans="2:2" ht="15.75" customHeight="1">
      <c r="B897" s="160"/>
    </row>
    <row r="898" spans="2:2" ht="15.75" customHeight="1">
      <c r="B898" s="160"/>
    </row>
    <row r="899" spans="2:2" ht="15.75" customHeight="1">
      <c r="B899" s="160"/>
    </row>
    <row r="900" spans="2:2" ht="15.75" customHeight="1">
      <c r="B900" s="160"/>
    </row>
    <row r="901" spans="2:2" ht="15.75" customHeight="1">
      <c r="B901" s="160"/>
    </row>
    <row r="902" spans="2:2" ht="15.75" customHeight="1">
      <c r="B902" s="160"/>
    </row>
    <row r="903" spans="2:2" ht="15.75" customHeight="1">
      <c r="B903" s="160"/>
    </row>
    <row r="904" spans="2:2" ht="15.75" customHeight="1">
      <c r="B904" s="160"/>
    </row>
    <row r="905" spans="2:2" ht="15.75" customHeight="1">
      <c r="B905" s="160"/>
    </row>
    <row r="906" spans="2:2" ht="15.75" customHeight="1">
      <c r="B906" s="160"/>
    </row>
    <row r="907" spans="2:2" ht="15.75" customHeight="1">
      <c r="B907" s="160"/>
    </row>
    <row r="908" spans="2:2" ht="15.75" customHeight="1">
      <c r="B908" s="160"/>
    </row>
    <row r="909" spans="2:2" ht="15.75" customHeight="1">
      <c r="B909" s="160"/>
    </row>
    <row r="910" spans="2:2" ht="15.75" customHeight="1">
      <c r="B910" s="160"/>
    </row>
    <row r="911" spans="2:2" ht="15.75" customHeight="1">
      <c r="B911" s="160"/>
    </row>
    <row r="912" spans="2:2" ht="15.75" customHeight="1">
      <c r="B912" s="160"/>
    </row>
    <row r="913" spans="2:2" ht="15.75" customHeight="1">
      <c r="B913" s="160"/>
    </row>
    <row r="914" spans="2:2" ht="15.75" customHeight="1">
      <c r="B914" s="160"/>
    </row>
    <row r="915" spans="2:2" ht="15.75" customHeight="1">
      <c r="B915" s="160"/>
    </row>
    <row r="916" spans="2:2" ht="15.75" customHeight="1">
      <c r="B916" s="160"/>
    </row>
    <row r="917" spans="2:2" ht="15.75" customHeight="1">
      <c r="B917" s="160"/>
    </row>
    <row r="918" spans="2:2" ht="15.75" customHeight="1">
      <c r="B918" s="160"/>
    </row>
    <row r="919" spans="2:2" ht="15.75" customHeight="1">
      <c r="B919" s="160"/>
    </row>
    <row r="920" spans="2:2" ht="15.75" customHeight="1">
      <c r="B920" s="160"/>
    </row>
    <row r="921" spans="2:2" ht="15.75" customHeight="1">
      <c r="B921" s="160"/>
    </row>
    <row r="922" spans="2:2" ht="15.75" customHeight="1">
      <c r="B922" s="160"/>
    </row>
    <row r="923" spans="2:2" ht="15.75" customHeight="1">
      <c r="B923" s="160"/>
    </row>
    <row r="924" spans="2:2" ht="15.75" customHeight="1">
      <c r="B924" s="160"/>
    </row>
    <row r="925" spans="2:2" ht="15.75" customHeight="1">
      <c r="B925" s="160"/>
    </row>
    <row r="926" spans="2:2" ht="15.75" customHeight="1">
      <c r="B926" s="160"/>
    </row>
    <row r="927" spans="2:2" ht="15.75" customHeight="1">
      <c r="B927" s="160"/>
    </row>
    <row r="928" spans="2:2" ht="15.75" customHeight="1">
      <c r="B928" s="160"/>
    </row>
    <row r="929" spans="2:2" ht="15.75" customHeight="1">
      <c r="B929" s="160"/>
    </row>
    <row r="930" spans="2:2" ht="15.75" customHeight="1">
      <c r="B930" s="160"/>
    </row>
    <row r="931" spans="2:2" ht="15.75" customHeight="1">
      <c r="B931" s="160"/>
    </row>
    <row r="932" spans="2:2" ht="15.75" customHeight="1">
      <c r="B932" s="160"/>
    </row>
    <row r="933" spans="2:2" ht="15.75" customHeight="1">
      <c r="B933" s="160"/>
    </row>
    <row r="934" spans="2:2" ht="15.75" customHeight="1">
      <c r="B934" s="160"/>
    </row>
    <row r="935" spans="2:2" ht="15.75" customHeight="1">
      <c r="B935" s="160"/>
    </row>
    <row r="936" spans="2:2" ht="15.75" customHeight="1">
      <c r="B936" s="160"/>
    </row>
    <row r="937" spans="2:2" ht="15.75" customHeight="1">
      <c r="B937" s="160"/>
    </row>
    <row r="938" spans="2:2" ht="15.75" customHeight="1">
      <c r="B938" s="160"/>
    </row>
    <row r="939" spans="2:2" ht="15.75" customHeight="1">
      <c r="B939" s="160"/>
    </row>
    <row r="940" spans="2:2" ht="15.75" customHeight="1">
      <c r="B940" s="160"/>
    </row>
    <row r="941" spans="2:2" ht="15.75" customHeight="1">
      <c r="B941" s="160"/>
    </row>
    <row r="942" spans="2:2" ht="15.75" customHeight="1">
      <c r="B942" s="160"/>
    </row>
    <row r="943" spans="2:2" ht="15.75" customHeight="1">
      <c r="B943" s="160"/>
    </row>
    <row r="944" spans="2:2" ht="15.75" customHeight="1">
      <c r="B944" s="160"/>
    </row>
    <row r="945" spans="2:2" ht="15.75" customHeight="1">
      <c r="B945" s="160"/>
    </row>
    <row r="946" spans="2:2" ht="15.75" customHeight="1">
      <c r="B946" s="160"/>
    </row>
    <row r="947" spans="2:2" ht="15.75" customHeight="1">
      <c r="B947" s="160"/>
    </row>
    <row r="948" spans="2:2" ht="15.75" customHeight="1">
      <c r="B948" s="160"/>
    </row>
    <row r="949" spans="2:2" ht="15.75" customHeight="1">
      <c r="B949" s="160"/>
    </row>
    <row r="950" spans="2:2" ht="15.75" customHeight="1">
      <c r="B950" s="160"/>
    </row>
    <row r="951" spans="2:2" ht="15.75" customHeight="1">
      <c r="B951" s="160"/>
    </row>
    <row r="952" spans="2:2" ht="15.75" customHeight="1">
      <c r="B952" s="160"/>
    </row>
    <row r="953" spans="2:2" ht="15.75" customHeight="1">
      <c r="B953" s="160"/>
    </row>
    <row r="954" spans="2:2" ht="15.75" customHeight="1">
      <c r="B954" s="160"/>
    </row>
    <row r="955" spans="2:2" ht="15.75" customHeight="1">
      <c r="B955" s="160"/>
    </row>
    <row r="956" spans="2:2" ht="15.75" customHeight="1">
      <c r="B956" s="160"/>
    </row>
    <row r="957" spans="2:2" ht="15.75" customHeight="1">
      <c r="B957" s="160"/>
    </row>
    <row r="958" spans="2:2" ht="15.75" customHeight="1">
      <c r="B958" s="160"/>
    </row>
    <row r="959" spans="2:2" ht="15.75" customHeight="1">
      <c r="B959" s="160"/>
    </row>
    <row r="960" spans="2:2" ht="15.75" customHeight="1">
      <c r="B960" s="160"/>
    </row>
    <row r="961" spans="2:2" ht="15.75" customHeight="1">
      <c r="B961" s="160"/>
    </row>
    <row r="962" spans="2:2" ht="15.75" customHeight="1">
      <c r="B962" s="160"/>
    </row>
    <row r="963" spans="2:2" ht="15.75" customHeight="1">
      <c r="B963" s="160"/>
    </row>
    <row r="964" spans="2:2" ht="15.75" customHeight="1">
      <c r="B964" s="160"/>
    </row>
    <row r="965" spans="2:2" ht="15.75" customHeight="1">
      <c r="B965" s="160"/>
    </row>
    <row r="966" spans="2:2" ht="15.75" customHeight="1">
      <c r="B966" s="160"/>
    </row>
    <row r="967" spans="2:2" ht="15.75" customHeight="1">
      <c r="B967" s="160"/>
    </row>
    <row r="968" spans="2:2" ht="15.75" customHeight="1">
      <c r="B968" s="160"/>
    </row>
    <row r="969" spans="2:2" ht="15.75" customHeight="1">
      <c r="B969" s="160"/>
    </row>
    <row r="970" spans="2:2" ht="15.75" customHeight="1">
      <c r="B970" s="160"/>
    </row>
    <row r="971" spans="2:2" ht="15.75" customHeight="1">
      <c r="B971" s="160"/>
    </row>
    <row r="972" spans="2:2" ht="15.75" customHeight="1">
      <c r="B972" s="160"/>
    </row>
    <row r="973" spans="2:2" ht="15.75" customHeight="1">
      <c r="B973" s="160"/>
    </row>
    <row r="974" spans="2:2" ht="15.75" customHeight="1">
      <c r="B974" s="160"/>
    </row>
    <row r="975" spans="2:2" ht="15.75" customHeight="1">
      <c r="B975" s="160"/>
    </row>
    <row r="976" spans="2:2" ht="15.75" customHeight="1">
      <c r="B976" s="160"/>
    </row>
    <row r="977" spans="2:2" ht="15.75" customHeight="1">
      <c r="B977" s="160"/>
    </row>
    <row r="978" spans="2:2" ht="15.75" customHeight="1">
      <c r="B978" s="160"/>
    </row>
    <row r="979" spans="2:2" ht="15.75" customHeight="1">
      <c r="B979" s="160"/>
    </row>
    <row r="980" spans="2:2" ht="15.75" customHeight="1">
      <c r="B980" s="160"/>
    </row>
    <row r="981" spans="2:2" ht="15.75" customHeight="1">
      <c r="B981" s="160"/>
    </row>
    <row r="982" spans="2:2" ht="15.75" customHeight="1">
      <c r="B982" s="160"/>
    </row>
    <row r="983" spans="2:2" ht="15.75" customHeight="1">
      <c r="B983" s="160"/>
    </row>
    <row r="984" spans="2:2" ht="15.75" customHeight="1">
      <c r="B984" s="160"/>
    </row>
    <row r="985" spans="2:2" ht="15.75" customHeight="1">
      <c r="B985" s="160"/>
    </row>
    <row r="986" spans="2:2" ht="15.75" customHeight="1">
      <c r="B986" s="160"/>
    </row>
    <row r="987" spans="2:2" ht="15.75" customHeight="1">
      <c r="B987" s="160"/>
    </row>
    <row r="988" spans="2:2" ht="15.75" customHeight="1">
      <c r="B988" s="160"/>
    </row>
    <row r="989" spans="2:2" ht="15.75" customHeight="1">
      <c r="B989" s="160"/>
    </row>
    <row r="990" spans="2:2" ht="15.75" customHeight="1">
      <c r="B990" s="160"/>
    </row>
    <row r="991" spans="2:2" ht="15.75" customHeight="1">
      <c r="B991" s="160"/>
    </row>
    <row r="992" spans="2:2" ht="15.75" customHeight="1">
      <c r="B992" s="160"/>
    </row>
    <row r="993" spans="2:2" ht="15.75" customHeight="1">
      <c r="B993" s="160"/>
    </row>
    <row r="994" spans="2:2" ht="15.75" customHeight="1">
      <c r="B994" s="160"/>
    </row>
    <row r="995" spans="2:2" ht="15.75" customHeight="1">
      <c r="B995" s="160"/>
    </row>
    <row r="996" spans="2:2" ht="15.75" customHeight="1">
      <c r="B996" s="160"/>
    </row>
    <row r="997" spans="2:2" ht="15.75" customHeight="1">
      <c r="B997" s="160"/>
    </row>
    <row r="998" spans="2:2" ht="15.75" customHeight="1">
      <c r="B998" s="160"/>
    </row>
    <row r="999" spans="2:2" ht="15.75" customHeight="1">
      <c r="B999" s="160"/>
    </row>
    <row r="1000" spans="2:2" ht="11.4" customHeight="1">
      <c r="B1000" s="160"/>
    </row>
    <row r="1001" spans="2:2" ht="14.4">
      <c r="B1001" s="160"/>
    </row>
  </sheetData>
  <autoFilter ref="C1:C1001" xr:uid="{00000000-0001-0000-0B00-000000000000}"/>
  <hyperlinks>
    <hyperlink ref="B3" r:id="rId1" xr:uid="{00000000-0004-0000-0B00-000000000000}"/>
    <hyperlink ref="B4" r:id="rId2" xr:uid="{00000000-0004-0000-0B00-000001000000}"/>
    <hyperlink ref="B5" r:id="rId3" xr:uid="{00000000-0004-0000-0B00-000002000000}"/>
    <hyperlink ref="B9" r:id="rId4" xr:uid="{21ED114B-D0AE-46DB-97E3-B23B2537D8F8}"/>
    <hyperlink ref="B12" r:id="rId5" display="https://www.microsave.net/2026/03/31/how-digital-reforms-in-food-subsidy-settlements-can-speed-up-intergovernmental-transfers-in-india/" xr:uid="{1DE350AA-23CF-4B3C-B821-250DC17F6AAA}"/>
    <hyperlink ref="B11" r:id="rId6" xr:uid="{6B840ADC-28CE-419D-A271-9C65579797F0}"/>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ySplit="1" topLeftCell="A2" activePane="bottomLeft" state="frozen"/>
      <selection pane="bottomLeft" sqref="A1:XFD1"/>
    </sheetView>
  </sheetViews>
  <sheetFormatPr defaultColWidth="14.44140625" defaultRowHeight="15" customHeight="1"/>
  <cols>
    <col min="1" max="1" width="8.88671875" customWidth="1"/>
    <col min="2" max="2" width="66.88671875" customWidth="1"/>
    <col min="3" max="3" width="19.44140625" customWidth="1"/>
    <col min="4" max="4" width="67.44140625" customWidth="1"/>
    <col min="5" max="26" width="8.88671875" customWidth="1"/>
  </cols>
  <sheetData>
    <row r="1" spans="1:26" s="486" customFormat="1" ht="31.5" customHeight="1">
      <c r="A1" s="512" t="s">
        <v>4777</v>
      </c>
      <c r="B1" s="512" t="s">
        <v>4778</v>
      </c>
      <c r="C1" s="512" t="s">
        <v>4779</v>
      </c>
      <c r="D1" s="513" t="s">
        <v>4780</v>
      </c>
      <c r="E1" s="514"/>
      <c r="F1" s="514"/>
      <c r="G1" s="514"/>
      <c r="H1" s="514"/>
      <c r="I1" s="514"/>
      <c r="J1" s="514"/>
      <c r="K1" s="514"/>
      <c r="L1" s="514"/>
      <c r="M1" s="514"/>
      <c r="N1" s="514"/>
      <c r="O1" s="514"/>
      <c r="P1" s="514"/>
      <c r="Q1" s="514"/>
      <c r="R1" s="514"/>
      <c r="S1" s="514"/>
      <c r="T1" s="514"/>
      <c r="U1" s="514"/>
      <c r="V1" s="514"/>
      <c r="W1" s="514"/>
      <c r="X1" s="514"/>
      <c r="Y1" s="514"/>
      <c r="Z1" s="514"/>
    </row>
    <row r="2" spans="1:26" ht="28.8">
      <c r="A2" s="15">
        <v>1</v>
      </c>
      <c r="B2" s="15" t="s">
        <v>4781</v>
      </c>
      <c r="C2" s="15" t="s">
        <v>4782</v>
      </c>
      <c r="D2" s="32" t="s">
        <v>4783</v>
      </c>
      <c r="E2" s="4"/>
      <c r="F2" s="4"/>
      <c r="G2" s="4"/>
      <c r="H2" s="4"/>
      <c r="I2" s="4"/>
      <c r="J2" s="4"/>
      <c r="K2" s="4"/>
      <c r="L2" s="4"/>
      <c r="M2" s="4"/>
      <c r="N2" s="4"/>
      <c r="O2" s="4"/>
      <c r="P2" s="4"/>
      <c r="Q2" s="4"/>
      <c r="R2" s="4"/>
      <c r="S2" s="4"/>
      <c r="T2" s="4"/>
      <c r="U2" s="4"/>
      <c r="V2" s="4"/>
      <c r="W2" s="4"/>
      <c r="X2" s="4"/>
      <c r="Y2" s="4"/>
      <c r="Z2" s="4"/>
    </row>
    <row r="3" spans="1:26" ht="28.8">
      <c r="A3" s="15">
        <v>2</v>
      </c>
      <c r="B3" s="15" t="s">
        <v>4784</v>
      </c>
      <c r="C3" s="15" t="s">
        <v>4782</v>
      </c>
      <c r="D3" s="2" t="s">
        <v>4785</v>
      </c>
      <c r="E3" s="4"/>
      <c r="F3" s="4"/>
      <c r="G3" s="4"/>
      <c r="H3" s="4"/>
      <c r="I3" s="4"/>
      <c r="J3" s="4"/>
      <c r="K3" s="4"/>
      <c r="L3" s="4"/>
      <c r="M3" s="4"/>
      <c r="N3" s="4"/>
      <c r="O3" s="4"/>
      <c r="P3" s="4"/>
      <c r="Q3" s="4"/>
      <c r="R3" s="4"/>
      <c r="S3" s="4"/>
      <c r="T3" s="4"/>
      <c r="U3" s="4"/>
      <c r="V3" s="4"/>
      <c r="W3" s="4"/>
      <c r="X3" s="4"/>
      <c r="Y3" s="4"/>
      <c r="Z3" s="4"/>
    </row>
    <row r="4" spans="1:26" ht="28.8">
      <c r="A4" s="15">
        <v>3</v>
      </c>
      <c r="B4" s="15" t="s">
        <v>4786</v>
      </c>
      <c r="C4" s="15" t="s">
        <v>4782</v>
      </c>
      <c r="D4" s="32" t="s">
        <v>4787</v>
      </c>
      <c r="E4" s="4"/>
      <c r="F4" s="4"/>
      <c r="G4" s="4"/>
      <c r="H4" s="4"/>
      <c r="I4" s="4"/>
      <c r="J4" s="4"/>
      <c r="K4" s="4"/>
      <c r="L4" s="4"/>
      <c r="M4" s="4"/>
      <c r="N4" s="4"/>
      <c r="O4" s="4"/>
      <c r="P4" s="4"/>
      <c r="Q4" s="4"/>
      <c r="R4" s="4"/>
      <c r="S4" s="4"/>
      <c r="T4" s="4"/>
      <c r="U4" s="4"/>
      <c r="V4" s="4"/>
      <c r="W4" s="4"/>
      <c r="X4" s="4"/>
      <c r="Y4" s="4"/>
      <c r="Z4" s="4"/>
    </row>
    <row r="5" spans="1:26" ht="28.8">
      <c r="A5" s="15">
        <v>4</v>
      </c>
      <c r="B5" s="15" t="s">
        <v>4788</v>
      </c>
      <c r="C5" s="15" t="s">
        <v>4782</v>
      </c>
      <c r="D5" s="2" t="s">
        <v>4789</v>
      </c>
      <c r="E5" s="4"/>
      <c r="F5" s="4"/>
      <c r="G5" s="4"/>
      <c r="H5" s="4"/>
      <c r="I5" s="4"/>
      <c r="J5" s="4"/>
      <c r="K5" s="4"/>
      <c r="L5" s="4"/>
      <c r="M5" s="4"/>
      <c r="N5" s="4"/>
      <c r="O5" s="4"/>
      <c r="P5" s="4"/>
      <c r="Q5" s="4"/>
      <c r="R5" s="4"/>
      <c r="S5" s="4"/>
      <c r="T5" s="4"/>
      <c r="U5" s="4"/>
      <c r="V5" s="4"/>
      <c r="W5" s="4"/>
      <c r="X5" s="4"/>
      <c r="Y5" s="4"/>
      <c r="Z5" s="4"/>
    </row>
    <row r="6" spans="1:26" ht="28.8">
      <c r="A6" s="15">
        <v>5</v>
      </c>
      <c r="B6" s="15" t="s">
        <v>4790</v>
      </c>
      <c r="C6" s="15" t="s">
        <v>4782</v>
      </c>
      <c r="D6" s="2" t="s">
        <v>4791</v>
      </c>
      <c r="E6" s="4"/>
      <c r="F6" s="4"/>
      <c r="G6" s="4"/>
      <c r="H6" s="4"/>
      <c r="I6" s="4"/>
      <c r="J6" s="4"/>
      <c r="K6" s="4"/>
      <c r="L6" s="4"/>
      <c r="M6" s="4"/>
      <c r="N6" s="4"/>
      <c r="O6" s="4"/>
      <c r="P6" s="4"/>
      <c r="Q6" s="4"/>
      <c r="R6" s="4"/>
      <c r="S6" s="4"/>
      <c r="T6" s="4"/>
      <c r="U6" s="4"/>
      <c r="V6" s="4"/>
      <c r="W6" s="4"/>
      <c r="X6" s="4"/>
      <c r="Y6" s="4"/>
      <c r="Z6" s="4"/>
    </row>
    <row r="7" spans="1:26" ht="28.8">
      <c r="A7" s="15">
        <v>6</v>
      </c>
      <c r="B7" s="15" t="s">
        <v>4792</v>
      </c>
      <c r="C7" s="15" t="s">
        <v>4782</v>
      </c>
      <c r="D7" s="2" t="s">
        <v>4793</v>
      </c>
      <c r="E7" s="4"/>
      <c r="F7" s="4"/>
      <c r="G7" s="4"/>
      <c r="H7" s="4"/>
      <c r="I7" s="4"/>
      <c r="J7" s="4"/>
      <c r="K7" s="4"/>
      <c r="L7" s="4"/>
      <c r="M7" s="4"/>
      <c r="N7" s="4"/>
      <c r="O7" s="4"/>
      <c r="P7" s="4"/>
      <c r="Q7" s="4"/>
      <c r="R7" s="4"/>
      <c r="S7" s="4"/>
      <c r="T7" s="4"/>
      <c r="U7" s="4"/>
      <c r="V7" s="4"/>
      <c r="W7" s="4"/>
      <c r="X7" s="4"/>
      <c r="Y7" s="4"/>
      <c r="Z7" s="4"/>
    </row>
    <row r="8" spans="1:26" ht="28.8">
      <c r="A8" s="15">
        <v>7</v>
      </c>
      <c r="B8" s="15" t="s">
        <v>4794</v>
      </c>
      <c r="C8" s="15" t="s">
        <v>4782</v>
      </c>
      <c r="D8" s="2" t="s">
        <v>4795</v>
      </c>
      <c r="E8" s="4"/>
      <c r="F8" s="4"/>
      <c r="G8" s="4"/>
      <c r="H8" s="4"/>
      <c r="I8" s="4"/>
      <c r="J8" s="4"/>
      <c r="K8" s="4"/>
      <c r="L8" s="4"/>
      <c r="M8" s="4"/>
      <c r="N8" s="4"/>
      <c r="O8" s="4"/>
      <c r="P8" s="4"/>
      <c r="Q8" s="4"/>
      <c r="R8" s="4"/>
      <c r="S8" s="4"/>
      <c r="T8" s="4"/>
      <c r="U8" s="4"/>
      <c r="V8" s="4"/>
      <c r="W8" s="4"/>
      <c r="X8" s="4"/>
      <c r="Y8" s="4"/>
      <c r="Z8" s="4"/>
    </row>
    <row r="9" spans="1:26" ht="28.8">
      <c r="A9" s="15">
        <v>8</v>
      </c>
      <c r="B9" s="15" t="s">
        <v>4796</v>
      </c>
      <c r="C9" s="15" t="s">
        <v>4782</v>
      </c>
      <c r="D9" s="2" t="s">
        <v>4797</v>
      </c>
      <c r="E9" s="4"/>
      <c r="F9" s="4"/>
      <c r="G9" s="4"/>
      <c r="H9" s="4"/>
      <c r="I9" s="4"/>
      <c r="J9" s="4"/>
      <c r="K9" s="4"/>
      <c r="L9" s="4"/>
      <c r="M9" s="4"/>
      <c r="N9" s="4"/>
      <c r="O9" s="4"/>
      <c r="P9" s="4"/>
      <c r="Q9" s="4"/>
      <c r="R9" s="4"/>
      <c r="S9" s="4"/>
      <c r="T9" s="4"/>
      <c r="U9" s="4"/>
      <c r="V9" s="4"/>
      <c r="W9" s="4"/>
      <c r="X9" s="4"/>
      <c r="Y9" s="4"/>
      <c r="Z9" s="4"/>
    </row>
    <row r="10" spans="1:26" ht="28.8">
      <c r="A10" s="15">
        <v>9</v>
      </c>
      <c r="B10" s="15" t="s">
        <v>4798</v>
      </c>
      <c r="C10" s="15" t="s">
        <v>4782</v>
      </c>
      <c r="D10" s="2" t="s">
        <v>4799</v>
      </c>
      <c r="E10" s="4"/>
      <c r="F10" s="4"/>
      <c r="G10" s="4"/>
      <c r="H10" s="4"/>
      <c r="I10" s="4"/>
      <c r="J10" s="4"/>
      <c r="K10" s="4"/>
      <c r="L10" s="4"/>
      <c r="M10" s="4"/>
      <c r="N10" s="4"/>
      <c r="O10" s="4"/>
      <c r="P10" s="4"/>
      <c r="Q10" s="4"/>
      <c r="R10" s="4"/>
      <c r="S10" s="4"/>
      <c r="T10" s="4"/>
      <c r="U10" s="4"/>
      <c r="V10" s="4"/>
      <c r="W10" s="4"/>
      <c r="X10" s="4"/>
      <c r="Y10" s="4"/>
      <c r="Z10" s="4"/>
    </row>
    <row r="11" spans="1:26" ht="28.8">
      <c r="A11" s="15">
        <v>10</v>
      </c>
      <c r="B11" s="15" t="s">
        <v>4800</v>
      </c>
      <c r="C11" s="15" t="s">
        <v>4782</v>
      </c>
      <c r="D11" s="2" t="s">
        <v>4801</v>
      </c>
      <c r="E11" s="4"/>
      <c r="F11" s="4"/>
      <c r="G11" s="4"/>
      <c r="H11" s="4"/>
      <c r="I11" s="4"/>
      <c r="J11" s="4"/>
      <c r="K11" s="4"/>
      <c r="L11" s="4"/>
      <c r="M11" s="4"/>
      <c r="N11" s="4"/>
      <c r="O11" s="4"/>
      <c r="P11" s="4"/>
      <c r="Q11" s="4"/>
      <c r="R11" s="4"/>
      <c r="S11" s="4"/>
      <c r="T11" s="4"/>
      <c r="U11" s="4"/>
      <c r="V11" s="4"/>
      <c r="W11" s="4"/>
      <c r="X11" s="4"/>
      <c r="Y11" s="4"/>
      <c r="Z11" s="4"/>
    </row>
    <row r="12" spans="1:26" ht="28.8">
      <c r="A12" s="15">
        <v>11</v>
      </c>
      <c r="B12" s="15" t="s">
        <v>4802</v>
      </c>
      <c r="C12" s="15" t="s">
        <v>4782</v>
      </c>
      <c r="D12" s="2" t="s">
        <v>4803</v>
      </c>
      <c r="E12" s="4"/>
      <c r="F12" s="4"/>
      <c r="G12" s="4"/>
      <c r="H12" s="4"/>
      <c r="I12" s="4"/>
      <c r="J12" s="4"/>
      <c r="K12" s="4"/>
      <c r="L12" s="4"/>
      <c r="M12" s="4"/>
      <c r="N12" s="4"/>
      <c r="O12" s="4"/>
      <c r="P12" s="4"/>
      <c r="Q12" s="4"/>
      <c r="R12" s="4"/>
      <c r="S12" s="4"/>
      <c r="T12" s="4"/>
      <c r="U12" s="4"/>
      <c r="V12" s="4"/>
      <c r="W12" s="4"/>
      <c r="X12" s="4"/>
      <c r="Y12" s="4"/>
      <c r="Z12" s="4"/>
    </row>
    <row r="13" spans="1:26" ht="28.8">
      <c r="A13" s="15">
        <v>12</v>
      </c>
      <c r="B13" s="15" t="s">
        <v>4804</v>
      </c>
      <c r="C13" s="15" t="s">
        <v>4782</v>
      </c>
      <c r="D13" s="2" t="s">
        <v>4805</v>
      </c>
      <c r="E13" s="4"/>
      <c r="F13" s="4"/>
      <c r="G13" s="4"/>
      <c r="H13" s="4"/>
      <c r="I13" s="4"/>
      <c r="J13" s="4"/>
      <c r="K13" s="4"/>
      <c r="L13" s="4"/>
      <c r="M13" s="4"/>
      <c r="N13" s="4"/>
      <c r="O13" s="4"/>
      <c r="P13" s="4"/>
      <c r="Q13" s="4"/>
      <c r="R13" s="4"/>
      <c r="S13" s="4"/>
      <c r="T13" s="4"/>
      <c r="U13" s="4"/>
      <c r="V13" s="4"/>
      <c r="W13" s="4"/>
      <c r="X13" s="4"/>
      <c r="Y13" s="4"/>
      <c r="Z13" s="4"/>
    </row>
    <row r="14" spans="1:26" ht="28.8">
      <c r="A14" s="15">
        <v>13</v>
      </c>
      <c r="B14" s="15" t="s">
        <v>4806</v>
      </c>
      <c r="C14" s="15" t="s">
        <v>4782</v>
      </c>
      <c r="D14" s="2" t="s">
        <v>4807</v>
      </c>
      <c r="E14" s="4"/>
      <c r="F14" s="4"/>
      <c r="G14" s="4"/>
      <c r="H14" s="4"/>
      <c r="I14" s="4"/>
      <c r="J14" s="4"/>
      <c r="K14" s="4"/>
      <c r="L14" s="4"/>
      <c r="M14" s="4"/>
      <c r="N14" s="4"/>
      <c r="O14" s="4"/>
      <c r="P14" s="4"/>
      <c r="Q14" s="4"/>
      <c r="R14" s="4"/>
      <c r="S14" s="4"/>
      <c r="T14" s="4"/>
      <c r="U14" s="4"/>
      <c r="V14" s="4"/>
      <c r="W14" s="4"/>
      <c r="X14" s="4"/>
      <c r="Y14" s="4"/>
      <c r="Z14" s="4"/>
    </row>
    <row r="15" spans="1:26" ht="28.8">
      <c r="A15" s="15">
        <v>14</v>
      </c>
      <c r="B15" s="15" t="s">
        <v>4808</v>
      </c>
      <c r="C15" s="15" t="s">
        <v>4782</v>
      </c>
      <c r="D15" s="2" t="s">
        <v>4809</v>
      </c>
      <c r="E15" s="4"/>
      <c r="F15" s="4"/>
      <c r="G15" s="4"/>
      <c r="H15" s="4"/>
      <c r="I15" s="4"/>
      <c r="J15" s="4"/>
      <c r="K15" s="4"/>
      <c r="L15" s="4"/>
      <c r="M15" s="4"/>
      <c r="N15" s="4"/>
      <c r="O15" s="4"/>
      <c r="P15" s="4"/>
      <c r="Q15" s="4"/>
      <c r="R15" s="4"/>
      <c r="S15" s="4"/>
      <c r="T15" s="4"/>
      <c r="U15" s="4"/>
      <c r="V15" s="4"/>
      <c r="W15" s="4"/>
      <c r="X15" s="4"/>
      <c r="Y15" s="4"/>
      <c r="Z15" s="4"/>
    </row>
    <row r="16" spans="1:26" ht="28.8">
      <c r="A16" s="15">
        <v>15</v>
      </c>
      <c r="B16" s="15" t="s">
        <v>4810</v>
      </c>
      <c r="C16" s="15" t="s">
        <v>4782</v>
      </c>
      <c r="D16" s="2" t="s">
        <v>4811</v>
      </c>
      <c r="E16" s="4"/>
      <c r="F16" s="4"/>
      <c r="G16" s="4"/>
      <c r="H16" s="4"/>
      <c r="I16" s="4"/>
      <c r="J16" s="4"/>
      <c r="K16" s="4"/>
      <c r="L16" s="4"/>
      <c r="M16" s="4"/>
      <c r="N16" s="4"/>
      <c r="O16" s="4"/>
      <c r="P16" s="4"/>
      <c r="Q16" s="4"/>
      <c r="R16" s="4"/>
      <c r="S16" s="4"/>
      <c r="T16" s="4"/>
      <c r="U16" s="4"/>
      <c r="V16" s="4"/>
      <c r="W16" s="4"/>
      <c r="X16" s="4"/>
      <c r="Y16" s="4"/>
      <c r="Z16" s="4"/>
    </row>
    <row r="17" spans="1:26" ht="28.8">
      <c r="A17" s="15">
        <v>16</v>
      </c>
      <c r="B17" s="15" t="s">
        <v>4812</v>
      </c>
      <c r="C17" s="15" t="s">
        <v>4782</v>
      </c>
      <c r="D17" s="2" t="s">
        <v>4813</v>
      </c>
      <c r="E17" s="4"/>
      <c r="F17" s="4"/>
      <c r="G17" s="4"/>
      <c r="H17" s="4"/>
      <c r="I17" s="4"/>
      <c r="J17" s="4"/>
      <c r="K17" s="4"/>
      <c r="L17" s="4"/>
      <c r="M17" s="4"/>
      <c r="N17" s="4"/>
      <c r="O17" s="4"/>
      <c r="P17" s="4"/>
      <c r="Q17" s="4"/>
      <c r="R17" s="4"/>
      <c r="S17" s="4"/>
      <c r="T17" s="4"/>
      <c r="U17" s="4"/>
      <c r="V17" s="4"/>
      <c r="W17" s="4"/>
      <c r="X17" s="4"/>
      <c r="Y17" s="4"/>
      <c r="Z17" s="4"/>
    </row>
    <row r="18" spans="1:26" ht="28.8">
      <c r="A18" s="15">
        <v>17</v>
      </c>
      <c r="B18" s="15" t="s">
        <v>4814</v>
      </c>
      <c r="C18" s="15" t="s">
        <v>4782</v>
      </c>
      <c r="D18" s="2" t="s">
        <v>4815</v>
      </c>
      <c r="E18" s="4"/>
      <c r="F18" s="4"/>
      <c r="G18" s="4"/>
      <c r="H18" s="4"/>
      <c r="I18" s="4"/>
      <c r="J18" s="4"/>
      <c r="K18" s="4"/>
      <c r="L18" s="4"/>
      <c r="M18" s="4"/>
      <c r="N18" s="4"/>
      <c r="O18" s="4"/>
      <c r="P18" s="4"/>
      <c r="Q18" s="4"/>
      <c r="R18" s="4"/>
      <c r="S18" s="4"/>
      <c r="T18" s="4"/>
      <c r="U18" s="4"/>
      <c r="V18" s="4"/>
      <c r="W18" s="4"/>
      <c r="X18" s="4"/>
      <c r="Y18" s="4"/>
      <c r="Z18" s="4"/>
    </row>
    <row r="19" spans="1:26" ht="14.4">
      <c r="D19" s="10"/>
    </row>
    <row r="20" spans="1:26" ht="14.4">
      <c r="D20" s="10"/>
    </row>
    <row r="21" spans="1:26" ht="15.75" customHeight="1">
      <c r="D21" s="10"/>
    </row>
    <row r="22" spans="1:26" ht="15.75" customHeight="1">
      <c r="D22" s="10"/>
    </row>
    <row r="23" spans="1:26" ht="15.75" customHeight="1">
      <c r="D23" s="10"/>
    </row>
    <row r="24" spans="1:26" ht="15.75" customHeight="1">
      <c r="D24" s="10"/>
    </row>
    <row r="25" spans="1:26" ht="15.75" customHeight="1">
      <c r="D25" s="10"/>
    </row>
    <row r="26" spans="1:26" ht="15.75" customHeight="1">
      <c r="D26" s="10"/>
    </row>
    <row r="27" spans="1:26" ht="15.75" customHeight="1">
      <c r="D27" s="10"/>
    </row>
    <row r="28" spans="1:26" ht="15.75" customHeight="1">
      <c r="D28" s="10"/>
    </row>
    <row r="29" spans="1:26" ht="15.75" customHeight="1">
      <c r="D29" s="10"/>
    </row>
    <row r="30" spans="1:26" ht="15.75" customHeight="1">
      <c r="D30" s="10"/>
    </row>
    <row r="31" spans="1:26" ht="15.75" customHeight="1">
      <c r="D31" s="10"/>
    </row>
    <row r="32" spans="1:26" ht="15.75" customHeight="1">
      <c r="D32" s="10"/>
    </row>
    <row r="33" spans="4:4" ht="15.75" customHeight="1">
      <c r="D33" s="10"/>
    </row>
    <row r="34" spans="4:4" ht="15.75" customHeight="1">
      <c r="D34" s="10"/>
    </row>
    <row r="35" spans="4:4" ht="15.75" customHeight="1">
      <c r="D35" s="10"/>
    </row>
    <row r="36" spans="4:4" ht="15.75" customHeight="1">
      <c r="D36" s="10"/>
    </row>
    <row r="37" spans="4:4" ht="15.75" customHeight="1">
      <c r="D37" s="10"/>
    </row>
    <row r="38" spans="4:4" ht="15.75" customHeight="1">
      <c r="D38" s="10"/>
    </row>
    <row r="39" spans="4:4" ht="15.75" customHeight="1">
      <c r="D39" s="10"/>
    </row>
    <row r="40" spans="4:4" ht="15.75" customHeight="1">
      <c r="D40" s="10"/>
    </row>
    <row r="41" spans="4:4" ht="15.75" customHeight="1">
      <c r="D41" s="10"/>
    </row>
    <row r="42" spans="4:4" ht="15.75" customHeight="1">
      <c r="D42" s="10"/>
    </row>
    <row r="43" spans="4:4" ht="15.75" customHeight="1">
      <c r="D43" s="10"/>
    </row>
    <row r="44" spans="4:4" ht="15.75" customHeight="1">
      <c r="D44" s="10"/>
    </row>
    <row r="45" spans="4:4" ht="15.75" customHeight="1">
      <c r="D45" s="10"/>
    </row>
    <row r="46" spans="4:4" ht="15.75" customHeight="1">
      <c r="D46" s="10"/>
    </row>
    <row r="47" spans="4:4" ht="15.75" customHeight="1">
      <c r="D47" s="10"/>
    </row>
    <row r="48" spans="4:4" ht="15.75" customHeight="1">
      <c r="D48" s="10"/>
    </row>
    <row r="49" spans="4:4" ht="15.75" customHeight="1">
      <c r="D49" s="10"/>
    </row>
    <row r="50" spans="4:4" ht="15.75" customHeight="1">
      <c r="D50" s="10"/>
    </row>
    <row r="51" spans="4:4" ht="15.75" customHeight="1">
      <c r="D51" s="10"/>
    </row>
    <row r="52" spans="4:4" ht="15.75" customHeight="1">
      <c r="D52" s="10"/>
    </row>
    <row r="53" spans="4:4" ht="15.75" customHeight="1">
      <c r="D53" s="10"/>
    </row>
    <row r="54" spans="4:4" ht="15.75" customHeight="1">
      <c r="D54" s="10"/>
    </row>
    <row r="55" spans="4:4" ht="15.75" customHeight="1">
      <c r="D55" s="10"/>
    </row>
    <row r="56" spans="4:4" ht="15.75" customHeight="1">
      <c r="D56" s="10"/>
    </row>
    <row r="57" spans="4:4" ht="15.75" customHeight="1">
      <c r="D57" s="10"/>
    </row>
    <row r="58" spans="4:4" ht="15.75" customHeight="1">
      <c r="D58" s="10"/>
    </row>
    <row r="59" spans="4:4" ht="15.75" customHeight="1">
      <c r="D59" s="10"/>
    </row>
    <row r="60" spans="4:4" ht="15.75" customHeight="1">
      <c r="D60" s="10"/>
    </row>
    <row r="61" spans="4:4" ht="15.75" customHeight="1">
      <c r="D61" s="10"/>
    </row>
    <row r="62" spans="4:4" ht="15.75" customHeight="1">
      <c r="D62" s="10"/>
    </row>
    <row r="63" spans="4:4" ht="15.75" customHeight="1">
      <c r="D63" s="10"/>
    </row>
    <row r="64" spans="4:4" ht="15.75" customHeight="1">
      <c r="D64" s="10"/>
    </row>
    <row r="65" spans="4:4" ht="15.75" customHeight="1">
      <c r="D65" s="10"/>
    </row>
    <row r="66" spans="4:4" ht="15.75" customHeight="1">
      <c r="D66" s="10"/>
    </row>
    <row r="67" spans="4:4" ht="15.75" customHeight="1">
      <c r="D67" s="10"/>
    </row>
    <row r="68" spans="4:4" ht="15.75" customHeight="1">
      <c r="D68" s="10"/>
    </row>
    <row r="69" spans="4:4" ht="15.75" customHeight="1">
      <c r="D69" s="10"/>
    </row>
    <row r="70" spans="4:4" ht="15.75" customHeight="1">
      <c r="D70" s="10"/>
    </row>
    <row r="71" spans="4:4" ht="15.75" customHeight="1">
      <c r="D71" s="10"/>
    </row>
    <row r="72" spans="4:4" ht="15.75" customHeight="1">
      <c r="D72" s="10"/>
    </row>
    <row r="73" spans="4:4" ht="15.75" customHeight="1">
      <c r="D73" s="10"/>
    </row>
    <row r="74" spans="4:4" ht="15.75" customHeight="1">
      <c r="D74" s="10"/>
    </row>
    <row r="75" spans="4:4" ht="15.75" customHeight="1">
      <c r="D75" s="10"/>
    </row>
    <row r="76" spans="4:4" ht="15.75" customHeight="1">
      <c r="D76" s="10"/>
    </row>
    <row r="77" spans="4:4" ht="15.75" customHeight="1">
      <c r="D77" s="10"/>
    </row>
    <row r="78" spans="4:4" ht="15.75" customHeight="1">
      <c r="D78" s="10"/>
    </row>
    <row r="79" spans="4:4" ht="15.75" customHeight="1">
      <c r="D79" s="10"/>
    </row>
    <row r="80" spans="4:4" ht="15.75" customHeight="1">
      <c r="D80" s="10"/>
    </row>
    <row r="81" spans="4:4" ht="15.75" customHeight="1">
      <c r="D81" s="10"/>
    </row>
    <row r="82" spans="4:4" ht="15.75" customHeight="1">
      <c r="D82" s="10"/>
    </row>
    <row r="83" spans="4:4" ht="15.75" customHeight="1">
      <c r="D83" s="10"/>
    </row>
    <row r="84" spans="4:4" ht="15.75" customHeight="1">
      <c r="D84" s="10"/>
    </row>
    <row r="85" spans="4:4" ht="15.75" customHeight="1">
      <c r="D85" s="10"/>
    </row>
    <row r="86" spans="4:4" ht="15.75" customHeight="1">
      <c r="D86" s="10"/>
    </row>
    <row r="87" spans="4:4" ht="15.75" customHeight="1">
      <c r="D87" s="10"/>
    </row>
    <row r="88" spans="4:4" ht="15.75" customHeight="1">
      <c r="D88" s="10"/>
    </row>
    <row r="89" spans="4:4" ht="15.75" customHeight="1">
      <c r="D89" s="10"/>
    </row>
    <row r="90" spans="4:4" ht="15.75" customHeight="1">
      <c r="D90" s="10"/>
    </row>
    <row r="91" spans="4:4" ht="15.75" customHeight="1">
      <c r="D91" s="10"/>
    </row>
    <row r="92" spans="4:4" ht="15.75" customHeight="1">
      <c r="D92" s="10"/>
    </row>
    <row r="93" spans="4:4" ht="15.75" customHeight="1">
      <c r="D93" s="10"/>
    </row>
    <row r="94" spans="4:4" ht="15.75" customHeight="1">
      <c r="D94" s="10"/>
    </row>
    <row r="95" spans="4:4" ht="15.75" customHeight="1">
      <c r="D95" s="10"/>
    </row>
    <row r="96" spans="4:4" ht="15.75" customHeight="1">
      <c r="D96" s="10"/>
    </row>
    <row r="97" spans="4:4" ht="15.75" customHeight="1">
      <c r="D97" s="10"/>
    </row>
    <row r="98" spans="4:4" ht="15.75" customHeight="1">
      <c r="D98" s="10"/>
    </row>
    <row r="99" spans="4:4" ht="15.75" customHeight="1">
      <c r="D99" s="10"/>
    </row>
    <row r="100" spans="4:4" ht="15.75" customHeight="1">
      <c r="D100" s="10"/>
    </row>
    <row r="101" spans="4:4" ht="15.75" customHeight="1">
      <c r="D101" s="10"/>
    </row>
    <row r="102" spans="4:4" ht="15.75" customHeight="1">
      <c r="D102" s="10"/>
    </row>
    <row r="103" spans="4:4" ht="15.75" customHeight="1">
      <c r="D103" s="10"/>
    </row>
    <row r="104" spans="4:4" ht="15.75" customHeight="1">
      <c r="D104" s="10"/>
    </row>
    <row r="105" spans="4:4" ht="15.75" customHeight="1">
      <c r="D105" s="10"/>
    </row>
    <row r="106" spans="4:4" ht="15.75" customHeight="1">
      <c r="D106" s="10"/>
    </row>
    <row r="107" spans="4:4" ht="15.75" customHeight="1">
      <c r="D107" s="10"/>
    </row>
    <row r="108" spans="4:4" ht="15.75" customHeight="1">
      <c r="D108" s="10"/>
    </row>
    <row r="109" spans="4:4" ht="15.75" customHeight="1">
      <c r="D109" s="10"/>
    </row>
    <row r="110" spans="4:4" ht="15.75" customHeight="1">
      <c r="D110" s="10"/>
    </row>
    <row r="111" spans="4:4" ht="15.75" customHeight="1">
      <c r="D111" s="10"/>
    </row>
    <row r="112" spans="4:4" ht="15.75" customHeight="1">
      <c r="D112" s="10"/>
    </row>
    <row r="113" spans="4:4" ht="15.75" customHeight="1">
      <c r="D113" s="10"/>
    </row>
    <row r="114" spans="4:4" ht="15.75" customHeight="1">
      <c r="D114" s="10"/>
    </row>
    <row r="115" spans="4:4" ht="15.75" customHeight="1">
      <c r="D115" s="10"/>
    </row>
    <row r="116" spans="4:4" ht="15.75" customHeight="1">
      <c r="D116" s="10"/>
    </row>
    <row r="117" spans="4:4" ht="15.75" customHeight="1">
      <c r="D117" s="10"/>
    </row>
    <row r="118" spans="4:4" ht="15.75" customHeight="1">
      <c r="D118" s="10"/>
    </row>
    <row r="119" spans="4:4" ht="15.75" customHeight="1">
      <c r="D119" s="10"/>
    </row>
    <row r="120" spans="4:4" ht="15.75" customHeight="1">
      <c r="D120" s="10"/>
    </row>
    <row r="121" spans="4:4" ht="15.75" customHeight="1">
      <c r="D121" s="10"/>
    </row>
    <row r="122" spans="4:4" ht="15.75" customHeight="1">
      <c r="D122" s="10"/>
    </row>
    <row r="123" spans="4:4" ht="15.75" customHeight="1">
      <c r="D123" s="10"/>
    </row>
    <row r="124" spans="4:4" ht="15.75" customHeight="1">
      <c r="D124" s="10"/>
    </row>
    <row r="125" spans="4:4" ht="15.75" customHeight="1">
      <c r="D125" s="10"/>
    </row>
    <row r="126" spans="4:4" ht="15.75" customHeight="1">
      <c r="D126" s="10"/>
    </row>
    <row r="127" spans="4:4" ht="15.75" customHeight="1">
      <c r="D127" s="10"/>
    </row>
    <row r="128" spans="4:4" ht="15.75" customHeight="1">
      <c r="D128" s="10"/>
    </row>
    <row r="129" spans="4:4" ht="15.75" customHeight="1">
      <c r="D129" s="10"/>
    </row>
    <row r="130" spans="4:4" ht="15.75" customHeight="1">
      <c r="D130" s="10"/>
    </row>
    <row r="131" spans="4:4" ht="15.75" customHeight="1">
      <c r="D131" s="10"/>
    </row>
    <row r="132" spans="4:4" ht="15.75" customHeight="1">
      <c r="D132" s="10"/>
    </row>
    <row r="133" spans="4:4" ht="15.75" customHeight="1">
      <c r="D133" s="10"/>
    </row>
    <row r="134" spans="4:4" ht="15.75" customHeight="1">
      <c r="D134" s="10"/>
    </row>
    <row r="135" spans="4:4" ht="15.75" customHeight="1">
      <c r="D135" s="10"/>
    </row>
    <row r="136" spans="4:4" ht="15.75" customHeight="1">
      <c r="D136" s="10"/>
    </row>
    <row r="137" spans="4:4" ht="15.75" customHeight="1">
      <c r="D137" s="10"/>
    </row>
    <row r="138" spans="4:4" ht="15.75" customHeight="1">
      <c r="D138" s="10"/>
    </row>
    <row r="139" spans="4:4" ht="15.75" customHeight="1">
      <c r="D139" s="10"/>
    </row>
    <row r="140" spans="4:4" ht="15.75" customHeight="1">
      <c r="D140" s="10"/>
    </row>
    <row r="141" spans="4:4" ht="15.75" customHeight="1">
      <c r="D141" s="10"/>
    </row>
    <row r="142" spans="4:4" ht="15.75" customHeight="1">
      <c r="D142" s="10"/>
    </row>
    <row r="143" spans="4:4" ht="15.75" customHeight="1">
      <c r="D143" s="10"/>
    </row>
    <row r="144" spans="4:4" ht="15.75" customHeight="1">
      <c r="D144" s="10"/>
    </row>
    <row r="145" spans="4:4" ht="15.75" customHeight="1">
      <c r="D145" s="10"/>
    </row>
    <row r="146" spans="4:4" ht="15.75" customHeight="1">
      <c r="D146" s="10"/>
    </row>
    <row r="147" spans="4:4" ht="15.75" customHeight="1">
      <c r="D147" s="10"/>
    </row>
    <row r="148" spans="4:4" ht="15.75" customHeight="1">
      <c r="D148" s="10"/>
    </row>
    <row r="149" spans="4:4" ht="15.75" customHeight="1">
      <c r="D149" s="10"/>
    </row>
    <row r="150" spans="4:4" ht="15.75" customHeight="1">
      <c r="D150" s="10"/>
    </row>
    <row r="151" spans="4:4" ht="15.75" customHeight="1">
      <c r="D151" s="10"/>
    </row>
    <row r="152" spans="4:4" ht="15.75" customHeight="1">
      <c r="D152" s="10"/>
    </row>
    <row r="153" spans="4:4" ht="15.75" customHeight="1">
      <c r="D153" s="10"/>
    </row>
    <row r="154" spans="4:4" ht="15.75" customHeight="1">
      <c r="D154" s="10"/>
    </row>
    <row r="155" spans="4:4" ht="15.75" customHeight="1">
      <c r="D155" s="10"/>
    </row>
    <row r="156" spans="4:4" ht="15.75" customHeight="1">
      <c r="D156" s="10"/>
    </row>
    <row r="157" spans="4:4" ht="15.75" customHeight="1">
      <c r="D157" s="10"/>
    </row>
    <row r="158" spans="4:4" ht="15.75" customHeight="1">
      <c r="D158" s="10"/>
    </row>
    <row r="159" spans="4:4" ht="15.75" customHeight="1">
      <c r="D159" s="10"/>
    </row>
    <row r="160" spans="4:4" ht="15.75" customHeight="1">
      <c r="D160" s="10"/>
    </row>
    <row r="161" spans="4:4" ht="15.75" customHeight="1">
      <c r="D161" s="10"/>
    </row>
    <row r="162" spans="4:4" ht="15.75" customHeight="1">
      <c r="D162" s="10"/>
    </row>
    <row r="163" spans="4:4" ht="15.75" customHeight="1">
      <c r="D163" s="10"/>
    </row>
    <row r="164" spans="4:4" ht="15.75" customHeight="1">
      <c r="D164" s="10"/>
    </row>
    <row r="165" spans="4:4" ht="15.75" customHeight="1">
      <c r="D165" s="10"/>
    </row>
    <row r="166" spans="4:4" ht="15.75" customHeight="1">
      <c r="D166" s="10"/>
    </row>
    <row r="167" spans="4:4" ht="15.75" customHeight="1">
      <c r="D167" s="10"/>
    </row>
    <row r="168" spans="4:4" ht="15.75" customHeight="1">
      <c r="D168" s="10"/>
    </row>
    <row r="169" spans="4:4" ht="15.75" customHeight="1">
      <c r="D169" s="10"/>
    </row>
    <row r="170" spans="4:4" ht="15.75" customHeight="1">
      <c r="D170" s="10"/>
    </row>
    <row r="171" spans="4:4" ht="15.75" customHeight="1">
      <c r="D171" s="10"/>
    </row>
    <row r="172" spans="4:4" ht="15.75" customHeight="1">
      <c r="D172" s="10"/>
    </row>
    <row r="173" spans="4:4" ht="15.75" customHeight="1">
      <c r="D173" s="10"/>
    </row>
    <row r="174" spans="4:4" ht="15.75" customHeight="1">
      <c r="D174" s="10"/>
    </row>
    <row r="175" spans="4:4" ht="15.75" customHeight="1">
      <c r="D175" s="10"/>
    </row>
    <row r="176" spans="4:4" ht="15.75" customHeight="1">
      <c r="D176" s="10"/>
    </row>
    <row r="177" spans="4:4" ht="15.75" customHeight="1">
      <c r="D177" s="10"/>
    </row>
    <row r="178" spans="4:4" ht="15.75" customHeight="1">
      <c r="D178" s="10"/>
    </row>
    <row r="179" spans="4:4" ht="15.75" customHeight="1">
      <c r="D179" s="10"/>
    </row>
    <row r="180" spans="4:4" ht="15.75" customHeight="1">
      <c r="D180" s="10"/>
    </row>
    <row r="181" spans="4:4" ht="15.75" customHeight="1">
      <c r="D181" s="10"/>
    </row>
    <row r="182" spans="4:4" ht="15.75" customHeight="1">
      <c r="D182" s="10"/>
    </row>
    <row r="183" spans="4:4" ht="15.75" customHeight="1">
      <c r="D183" s="10"/>
    </row>
    <row r="184" spans="4:4" ht="15.75" customHeight="1">
      <c r="D184" s="10"/>
    </row>
    <row r="185" spans="4:4" ht="15.75" customHeight="1">
      <c r="D185" s="10"/>
    </row>
    <row r="186" spans="4:4" ht="15.75" customHeight="1">
      <c r="D186" s="10"/>
    </row>
    <row r="187" spans="4:4" ht="15.75" customHeight="1">
      <c r="D187" s="10"/>
    </row>
    <row r="188" spans="4:4" ht="15.75" customHeight="1">
      <c r="D188" s="10"/>
    </row>
    <row r="189" spans="4:4" ht="15.75" customHeight="1">
      <c r="D189" s="10"/>
    </row>
    <row r="190" spans="4:4" ht="15.75" customHeight="1">
      <c r="D190" s="10"/>
    </row>
    <row r="191" spans="4:4" ht="15.75" customHeight="1">
      <c r="D191" s="10"/>
    </row>
    <row r="192" spans="4:4" ht="15.75" customHeight="1">
      <c r="D192" s="10"/>
    </row>
    <row r="193" spans="4:4" ht="15.75" customHeight="1">
      <c r="D193" s="10"/>
    </row>
    <row r="194" spans="4:4" ht="15.75" customHeight="1">
      <c r="D194" s="10"/>
    </row>
    <row r="195" spans="4:4" ht="15.75" customHeight="1">
      <c r="D195" s="10"/>
    </row>
    <row r="196" spans="4:4" ht="15.75" customHeight="1">
      <c r="D196" s="10"/>
    </row>
    <row r="197" spans="4:4" ht="15.75" customHeight="1">
      <c r="D197" s="10"/>
    </row>
    <row r="198" spans="4:4" ht="15.75" customHeight="1">
      <c r="D198" s="10"/>
    </row>
    <row r="199" spans="4:4" ht="15.75" customHeight="1">
      <c r="D199" s="10"/>
    </row>
    <row r="200" spans="4:4" ht="15.75" customHeight="1">
      <c r="D200" s="10"/>
    </row>
    <row r="201" spans="4:4" ht="15.75" customHeight="1">
      <c r="D201" s="10"/>
    </row>
    <row r="202" spans="4:4" ht="15.75" customHeight="1">
      <c r="D202" s="10"/>
    </row>
    <row r="203" spans="4:4" ht="15.75" customHeight="1">
      <c r="D203" s="10"/>
    </row>
    <row r="204" spans="4:4" ht="15.75" customHeight="1">
      <c r="D204" s="10"/>
    </row>
    <row r="205" spans="4:4" ht="15.75" customHeight="1">
      <c r="D205" s="10"/>
    </row>
    <row r="206" spans="4:4" ht="15.75" customHeight="1">
      <c r="D206" s="10"/>
    </row>
    <row r="207" spans="4:4" ht="15.75" customHeight="1">
      <c r="D207" s="10"/>
    </row>
    <row r="208" spans="4:4" ht="15.75" customHeight="1">
      <c r="D208" s="10"/>
    </row>
    <row r="209" spans="4:4" ht="15.75" customHeight="1">
      <c r="D209" s="10"/>
    </row>
    <row r="210" spans="4:4" ht="15.75" customHeight="1">
      <c r="D210" s="10"/>
    </row>
    <row r="211" spans="4:4" ht="15.75" customHeight="1">
      <c r="D211" s="10"/>
    </row>
    <row r="212" spans="4:4" ht="15.75" customHeight="1">
      <c r="D212" s="10"/>
    </row>
    <row r="213" spans="4:4" ht="15.75" customHeight="1">
      <c r="D213" s="10"/>
    </row>
    <row r="214" spans="4:4" ht="15.75" customHeight="1">
      <c r="D214" s="10"/>
    </row>
    <row r="215" spans="4:4" ht="15.75" customHeight="1">
      <c r="D215" s="10"/>
    </row>
    <row r="216" spans="4:4" ht="15.75" customHeight="1">
      <c r="D216" s="10"/>
    </row>
    <row r="217" spans="4:4" ht="15.75" customHeight="1">
      <c r="D217" s="10"/>
    </row>
    <row r="218" spans="4:4" ht="15.75" customHeight="1">
      <c r="D218" s="10"/>
    </row>
    <row r="219" spans="4:4" ht="15.75" customHeight="1">
      <c r="D219" s="10"/>
    </row>
    <row r="220" spans="4:4" ht="15.75" customHeight="1">
      <c r="D220" s="10"/>
    </row>
    <row r="221" spans="4:4" ht="15.75" customHeight="1">
      <c r="D221" s="10"/>
    </row>
    <row r="222" spans="4:4" ht="15.75" customHeight="1">
      <c r="D222" s="10"/>
    </row>
    <row r="223" spans="4:4" ht="15.75" customHeight="1">
      <c r="D223" s="10"/>
    </row>
    <row r="224" spans="4:4" ht="15.75" customHeight="1">
      <c r="D224" s="10"/>
    </row>
    <row r="225" spans="4:4" ht="15.75" customHeight="1">
      <c r="D225" s="10"/>
    </row>
    <row r="226" spans="4:4" ht="15.75" customHeight="1">
      <c r="D226" s="10"/>
    </row>
    <row r="227" spans="4:4" ht="15.75" customHeight="1">
      <c r="D227" s="10"/>
    </row>
    <row r="228" spans="4:4" ht="15.75" customHeight="1">
      <c r="D228" s="10"/>
    </row>
    <row r="229" spans="4:4" ht="15.75" customHeight="1">
      <c r="D229" s="10"/>
    </row>
    <row r="230" spans="4:4" ht="15.75" customHeight="1">
      <c r="D230" s="10"/>
    </row>
    <row r="231" spans="4:4" ht="15.75" customHeight="1">
      <c r="D231" s="10"/>
    </row>
    <row r="232" spans="4:4" ht="15.75" customHeight="1">
      <c r="D232" s="10"/>
    </row>
    <row r="233" spans="4:4" ht="15.75" customHeight="1">
      <c r="D233" s="10"/>
    </row>
    <row r="234" spans="4:4" ht="15.75" customHeight="1">
      <c r="D234" s="10"/>
    </row>
    <row r="235" spans="4:4" ht="15.75" customHeight="1">
      <c r="D235" s="10"/>
    </row>
    <row r="236" spans="4:4" ht="15.75" customHeight="1">
      <c r="D236" s="10"/>
    </row>
    <row r="237" spans="4:4" ht="15.75" customHeight="1">
      <c r="D237" s="10"/>
    </row>
    <row r="238" spans="4:4" ht="15.75" customHeight="1">
      <c r="D238" s="10"/>
    </row>
    <row r="239" spans="4:4" ht="15.75" customHeight="1">
      <c r="D239" s="10"/>
    </row>
    <row r="240" spans="4:4" ht="15.75" customHeight="1">
      <c r="D240" s="10"/>
    </row>
    <row r="241" spans="4:4" ht="15.75" customHeight="1">
      <c r="D241" s="10"/>
    </row>
    <row r="242" spans="4:4" ht="15.75" customHeight="1">
      <c r="D242" s="10"/>
    </row>
    <row r="243" spans="4:4" ht="15.75" customHeight="1">
      <c r="D243" s="10"/>
    </row>
    <row r="244" spans="4:4" ht="15.75" customHeight="1">
      <c r="D244" s="10"/>
    </row>
    <row r="245" spans="4:4" ht="15.75" customHeight="1">
      <c r="D245" s="10"/>
    </row>
    <row r="246" spans="4:4" ht="15.75" customHeight="1">
      <c r="D246" s="10"/>
    </row>
    <row r="247" spans="4:4" ht="15.75" customHeight="1">
      <c r="D247" s="10"/>
    </row>
    <row r="248" spans="4:4" ht="15.75" customHeight="1">
      <c r="D248" s="10"/>
    </row>
    <row r="249" spans="4:4" ht="15.75" customHeight="1">
      <c r="D249" s="10"/>
    </row>
    <row r="250" spans="4:4" ht="15.75" customHeight="1">
      <c r="D250" s="10"/>
    </row>
    <row r="251" spans="4:4" ht="15.75" customHeight="1">
      <c r="D251" s="10"/>
    </row>
    <row r="252" spans="4:4" ht="15.75" customHeight="1">
      <c r="D252" s="10"/>
    </row>
    <row r="253" spans="4:4" ht="15.75" customHeight="1">
      <c r="D253" s="10"/>
    </row>
    <row r="254" spans="4:4" ht="15.75" customHeight="1">
      <c r="D254" s="10"/>
    </row>
    <row r="255" spans="4:4" ht="15.75" customHeight="1">
      <c r="D255" s="10"/>
    </row>
    <row r="256" spans="4:4" ht="15.75" customHeight="1">
      <c r="D256" s="10"/>
    </row>
    <row r="257" spans="4:4" ht="15.75" customHeight="1">
      <c r="D257" s="10"/>
    </row>
    <row r="258" spans="4:4" ht="15.75" customHeight="1">
      <c r="D258" s="10"/>
    </row>
    <row r="259" spans="4:4" ht="15.75" customHeight="1">
      <c r="D259" s="10"/>
    </row>
    <row r="260" spans="4:4" ht="15.75" customHeight="1">
      <c r="D260" s="10"/>
    </row>
    <row r="261" spans="4:4" ht="15.75" customHeight="1">
      <c r="D261" s="10"/>
    </row>
    <row r="262" spans="4:4" ht="15.75" customHeight="1">
      <c r="D262" s="10"/>
    </row>
    <row r="263" spans="4:4" ht="15.75" customHeight="1">
      <c r="D263" s="10"/>
    </row>
    <row r="264" spans="4:4" ht="15.75" customHeight="1">
      <c r="D264" s="10"/>
    </row>
    <row r="265" spans="4:4" ht="15.75" customHeight="1">
      <c r="D265" s="10"/>
    </row>
    <row r="266" spans="4:4" ht="15.75" customHeight="1">
      <c r="D266" s="10"/>
    </row>
    <row r="267" spans="4:4" ht="15.75" customHeight="1">
      <c r="D267" s="10"/>
    </row>
    <row r="268" spans="4:4" ht="15.75" customHeight="1">
      <c r="D268" s="10"/>
    </row>
    <row r="269" spans="4:4" ht="15.75" customHeight="1">
      <c r="D269" s="10"/>
    </row>
    <row r="270" spans="4:4" ht="15.75" customHeight="1">
      <c r="D270" s="10"/>
    </row>
    <row r="271" spans="4:4" ht="15.75" customHeight="1">
      <c r="D271" s="10"/>
    </row>
    <row r="272" spans="4:4" ht="15.75" customHeight="1">
      <c r="D272" s="10"/>
    </row>
    <row r="273" spans="4:4" ht="15.75" customHeight="1">
      <c r="D273" s="10"/>
    </row>
    <row r="274" spans="4:4" ht="15.75" customHeight="1">
      <c r="D274" s="10"/>
    </row>
    <row r="275" spans="4:4" ht="15.75" customHeight="1">
      <c r="D275" s="10"/>
    </row>
    <row r="276" spans="4:4" ht="15.75" customHeight="1">
      <c r="D276" s="10"/>
    </row>
    <row r="277" spans="4:4" ht="15.75" customHeight="1">
      <c r="D277" s="10"/>
    </row>
    <row r="278" spans="4:4" ht="15.75" customHeight="1">
      <c r="D278" s="10"/>
    </row>
    <row r="279" spans="4:4" ht="15.75" customHeight="1">
      <c r="D279" s="10"/>
    </row>
    <row r="280" spans="4:4" ht="15.75" customHeight="1">
      <c r="D280" s="10"/>
    </row>
    <row r="281" spans="4:4" ht="15.75" customHeight="1">
      <c r="D281" s="10"/>
    </row>
    <row r="282" spans="4:4" ht="15.75" customHeight="1">
      <c r="D282" s="10"/>
    </row>
    <row r="283" spans="4:4" ht="15.75" customHeight="1">
      <c r="D283" s="10"/>
    </row>
    <row r="284" spans="4:4" ht="15.75" customHeight="1">
      <c r="D284" s="10"/>
    </row>
    <row r="285" spans="4:4" ht="15.75" customHeight="1">
      <c r="D285" s="10"/>
    </row>
    <row r="286" spans="4:4" ht="15.75" customHeight="1">
      <c r="D286" s="10"/>
    </row>
    <row r="287" spans="4:4" ht="15.75" customHeight="1">
      <c r="D287" s="10"/>
    </row>
    <row r="288" spans="4:4" ht="15.75" customHeight="1">
      <c r="D288" s="10"/>
    </row>
    <row r="289" spans="4:4" ht="15.75" customHeight="1">
      <c r="D289" s="10"/>
    </row>
    <row r="290" spans="4:4" ht="15.75" customHeight="1">
      <c r="D290" s="10"/>
    </row>
    <row r="291" spans="4:4" ht="15.75" customHeight="1">
      <c r="D291" s="10"/>
    </row>
    <row r="292" spans="4:4" ht="15.75" customHeight="1">
      <c r="D292" s="10"/>
    </row>
    <row r="293" spans="4:4" ht="15.75" customHeight="1">
      <c r="D293" s="10"/>
    </row>
    <row r="294" spans="4:4" ht="15.75" customHeight="1">
      <c r="D294" s="10"/>
    </row>
    <row r="295" spans="4:4" ht="15.75" customHeight="1">
      <c r="D295" s="10"/>
    </row>
    <row r="296" spans="4:4" ht="15.75" customHeight="1">
      <c r="D296" s="10"/>
    </row>
    <row r="297" spans="4:4" ht="15.75" customHeight="1">
      <c r="D297" s="10"/>
    </row>
    <row r="298" spans="4:4" ht="15.75" customHeight="1">
      <c r="D298" s="10"/>
    </row>
    <row r="299" spans="4:4" ht="15.75" customHeight="1">
      <c r="D299" s="10"/>
    </row>
    <row r="300" spans="4:4" ht="15.75" customHeight="1">
      <c r="D300" s="10"/>
    </row>
    <row r="301" spans="4:4" ht="15.75" customHeight="1">
      <c r="D301" s="10"/>
    </row>
    <row r="302" spans="4:4" ht="15.75" customHeight="1">
      <c r="D302" s="10"/>
    </row>
    <row r="303" spans="4:4" ht="15.75" customHeight="1">
      <c r="D303" s="10"/>
    </row>
    <row r="304" spans="4:4" ht="15.75" customHeight="1">
      <c r="D304" s="10"/>
    </row>
    <row r="305" spans="4:4" ht="15.75" customHeight="1">
      <c r="D305" s="10"/>
    </row>
    <row r="306" spans="4:4" ht="15.75" customHeight="1">
      <c r="D306" s="10"/>
    </row>
    <row r="307" spans="4:4" ht="15.75" customHeight="1">
      <c r="D307" s="10"/>
    </row>
    <row r="308" spans="4:4" ht="15.75" customHeight="1">
      <c r="D308" s="10"/>
    </row>
    <row r="309" spans="4:4" ht="15.75" customHeight="1">
      <c r="D309" s="10"/>
    </row>
    <row r="310" spans="4:4" ht="15.75" customHeight="1">
      <c r="D310" s="10"/>
    </row>
    <row r="311" spans="4:4" ht="15.75" customHeight="1">
      <c r="D311" s="10"/>
    </row>
    <row r="312" spans="4:4" ht="15.75" customHeight="1">
      <c r="D312" s="10"/>
    </row>
    <row r="313" spans="4:4" ht="15.75" customHeight="1">
      <c r="D313" s="10"/>
    </row>
    <row r="314" spans="4:4" ht="15.75" customHeight="1">
      <c r="D314" s="10"/>
    </row>
    <row r="315" spans="4:4" ht="15.75" customHeight="1">
      <c r="D315" s="10"/>
    </row>
    <row r="316" spans="4:4" ht="15.75" customHeight="1">
      <c r="D316" s="10"/>
    </row>
    <row r="317" spans="4:4" ht="15.75" customHeight="1">
      <c r="D317" s="10"/>
    </row>
    <row r="318" spans="4:4" ht="15.75" customHeight="1">
      <c r="D318" s="10"/>
    </row>
    <row r="319" spans="4:4" ht="15.75" customHeight="1">
      <c r="D319" s="10"/>
    </row>
    <row r="320" spans="4:4" ht="15.75" customHeight="1">
      <c r="D320" s="10"/>
    </row>
    <row r="321" spans="4:4" ht="15.75" customHeight="1">
      <c r="D321" s="10"/>
    </row>
    <row r="322" spans="4:4" ht="15.75" customHeight="1">
      <c r="D322" s="10"/>
    </row>
    <row r="323" spans="4:4" ht="15.75" customHeight="1">
      <c r="D323" s="10"/>
    </row>
    <row r="324" spans="4:4" ht="15.75" customHeight="1">
      <c r="D324" s="10"/>
    </row>
    <row r="325" spans="4:4" ht="15.75" customHeight="1">
      <c r="D325" s="10"/>
    </row>
    <row r="326" spans="4:4" ht="15.75" customHeight="1">
      <c r="D326" s="10"/>
    </row>
    <row r="327" spans="4:4" ht="15.75" customHeight="1">
      <c r="D327" s="10"/>
    </row>
    <row r="328" spans="4:4" ht="15.75" customHeight="1">
      <c r="D328" s="10"/>
    </row>
    <row r="329" spans="4:4" ht="15.75" customHeight="1">
      <c r="D329" s="10"/>
    </row>
    <row r="330" spans="4:4" ht="15.75" customHeight="1">
      <c r="D330" s="10"/>
    </row>
    <row r="331" spans="4:4" ht="15.75" customHeight="1">
      <c r="D331" s="10"/>
    </row>
    <row r="332" spans="4:4" ht="15.75" customHeight="1">
      <c r="D332" s="10"/>
    </row>
    <row r="333" spans="4:4" ht="15.75" customHeight="1">
      <c r="D333" s="10"/>
    </row>
    <row r="334" spans="4:4" ht="15.75" customHeight="1">
      <c r="D334" s="10"/>
    </row>
    <row r="335" spans="4:4" ht="15.75" customHeight="1">
      <c r="D335" s="10"/>
    </row>
    <row r="336" spans="4:4" ht="15.75" customHeight="1">
      <c r="D336" s="10"/>
    </row>
    <row r="337" spans="4:4" ht="15.75" customHeight="1">
      <c r="D337" s="10"/>
    </row>
    <row r="338" spans="4:4" ht="15.75" customHeight="1">
      <c r="D338" s="10"/>
    </row>
    <row r="339" spans="4:4" ht="15.75" customHeight="1">
      <c r="D339" s="10"/>
    </row>
    <row r="340" spans="4:4" ht="15.75" customHeight="1">
      <c r="D340" s="10"/>
    </row>
    <row r="341" spans="4:4" ht="15.75" customHeight="1">
      <c r="D341" s="10"/>
    </row>
    <row r="342" spans="4:4" ht="15.75" customHeight="1">
      <c r="D342" s="10"/>
    </row>
    <row r="343" spans="4:4" ht="15.75" customHeight="1">
      <c r="D343" s="10"/>
    </row>
    <row r="344" spans="4:4" ht="15.75" customHeight="1">
      <c r="D344" s="10"/>
    </row>
    <row r="345" spans="4:4" ht="15.75" customHeight="1">
      <c r="D345" s="10"/>
    </row>
    <row r="346" spans="4:4" ht="15.75" customHeight="1">
      <c r="D346" s="10"/>
    </row>
    <row r="347" spans="4:4" ht="15.75" customHeight="1">
      <c r="D347" s="10"/>
    </row>
    <row r="348" spans="4:4" ht="15.75" customHeight="1">
      <c r="D348" s="10"/>
    </row>
    <row r="349" spans="4:4" ht="15.75" customHeight="1">
      <c r="D349" s="10"/>
    </row>
    <row r="350" spans="4:4" ht="15.75" customHeight="1">
      <c r="D350" s="10"/>
    </row>
    <row r="351" spans="4:4" ht="15.75" customHeight="1">
      <c r="D351" s="10"/>
    </row>
    <row r="352" spans="4:4" ht="15.75" customHeight="1">
      <c r="D352" s="10"/>
    </row>
    <row r="353" spans="4:4" ht="15.75" customHeight="1">
      <c r="D353" s="10"/>
    </row>
    <row r="354" spans="4:4" ht="15.75" customHeight="1">
      <c r="D354" s="10"/>
    </row>
    <row r="355" spans="4:4" ht="15.75" customHeight="1">
      <c r="D355" s="10"/>
    </row>
    <row r="356" spans="4:4" ht="15.75" customHeight="1">
      <c r="D356" s="10"/>
    </row>
    <row r="357" spans="4:4" ht="15.75" customHeight="1">
      <c r="D357" s="10"/>
    </row>
    <row r="358" spans="4:4" ht="15.75" customHeight="1">
      <c r="D358" s="10"/>
    </row>
    <row r="359" spans="4:4" ht="15.75" customHeight="1">
      <c r="D359" s="10"/>
    </row>
    <row r="360" spans="4:4" ht="15.75" customHeight="1">
      <c r="D360" s="10"/>
    </row>
    <row r="361" spans="4:4" ht="15.75" customHeight="1">
      <c r="D361" s="10"/>
    </row>
    <row r="362" spans="4:4" ht="15.75" customHeight="1">
      <c r="D362" s="10"/>
    </row>
    <row r="363" spans="4:4" ht="15.75" customHeight="1">
      <c r="D363" s="10"/>
    </row>
    <row r="364" spans="4:4" ht="15.75" customHeight="1">
      <c r="D364" s="10"/>
    </row>
    <row r="365" spans="4:4" ht="15.75" customHeight="1">
      <c r="D365" s="10"/>
    </row>
    <row r="366" spans="4:4" ht="15.75" customHeight="1">
      <c r="D366" s="10"/>
    </row>
    <row r="367" spans="4:4" ht="15.75" customHeight="1">
      <c r="D367" s="10"/>
    </row>
    <row r="368" spans="4:4" ht="15.75" customHeight="1">
      <c r="D368" s="10"/>
    </row>
    <row r="369" spans="4:4" ht="15.75" customHeight="1">
      <c r="D369" s="10"/>
    </row>
    <row r="370" spans="4:4" ht="15.75" customHeight="1">
      <c r="D370" s="10"/>
    </row>
    <row r="371" spans="4:4" ht="15.75" customHeight="1">
      <c r="D371" s="10"/>
    </row>
    <row r="372" spans="4:4" ht="15.75" customHeight="1">
      <c r="D372" s="10"/>
    </row>
    <row r="373" spans="4:4" ht="15.75" customHeight="1">
      <c r="D373" s="10"/>
    </row>
    <row r="374" spans="4:4" ht="15.75" customHeight="1">
      <c r="D374" s="10"/>
    </row>
    <row r="375" spans="4:4" ht="15.75" customHeight="1">
      <c r="D375" s="10"/>
    </row>
    <row r="376" spans="4:4" ht="15.75" customHeight="1">
      <c r="D376" s="10"/>
    </row>
    <row r="377" spans="4:4" ht="15.75" customHeight="1">
      <c r="D377" s="10"/>
    </row>
    <row r="378" spans="4:4" ht="15.75" customHeight="1">
      <c r="D378" s="10"/>
    </row>
    <row r="379" spans="4:4" ht="15.75" customHeight="1">
      <c r="D379" s="10"/>
    </row>
    <row r="380" spans="4:4" ht="15.75" customHeight="1">
      <c r="D380" s="10"/>
    </row>
    <row r="381" spans="4:4" ht="15.75" customHeight="1">
      <c r="D381" s="10"/>
    </row>
    <row r="382" spans="4:4" ht="15.75" customHeight="1">
      <c r="D382" s="10"/>
    </row>
    <row r="383" spans="4:4" ht="15.75" customHeight="1">
      <c r="D383" s="10"/>
    </row>
    <row r="384" spans="4:4" ht="15.75" customHeight="1">
      <c r="D384" s="10"/>
    </row>
    <row r="385" spans="4:4" ht="15.75" customHeight="1">
      <c r="D385" s="10"/>
    </row>
    <row r="386" spans="4:4" ht="15.75" customHeight="1">
      <c r="D386" s="10"/>
    </row>
    <row r="387" spans="4:4" ht="15.75" customHeight="1">
      <c r="D387" s="10"/>
    </row>
    <row r="388" spans="4:4" ht="15.75" customHeight="1">
      <c r="D388" s="10"/>
    </row>
    <row r="389" spans="4:4" ht="15.75" customHeight="1">
      <c r="D389" s="10"/>
    </row>
    <row r="390" spans="4:4" ht="15.75" customHeight="1">
      <c r="D390" s="10"/>
    </row>
    <row r="391" spans="4:4" ht="15.75" customHeight="1">
      <c r="D391" s="10"/>
    </row>
    <row r="392" spans="4:4" ht="15.75" customHeight="1">
      <c r="D392" s="10"/>
    </row>
    <row r="393" spans="4:4" ht="15.75" customHeight="1">
      <c r="D393" s="10"/>
    </row>
    <row r="394" spans="4:4" ht="15.75" customHeight="1">
      <c r="D394" s="10"/>
    </row>
    <row r="395" spans="4:4" ht="15.75" customHeight="1">
      <c r="D395" s="10"/>
    </row>
    <row r="396" spans="4:4" ht="15.75" customHeight="1">
      <c r="D396" s="10"/>
    </row>
    <row r="397" spans="4:4" ht="15.75" customHeight="1">
      <c r="D397" s="10"/>
    </row>
    <row r="398" spans="4:4" ht="15.75" customHeight="1">
      <c r="D398" s="10"/>
    </row>
    <row r="399" spans="4:4" ht="15.75" customHeight="1">
      <c r="D399" s="10"/>
    </row>
    <row r="400" spans="4:4" ht="15.75" customHeight="1">
      <c r="D400" s="10"/>
    </row>
    <row r="401" spans="4:4" ht="15.75" customHeight="1">
      <c r="D401" s="10"/>
    </row>
    <row r="402" spans="4:4" ht="15.75" customHeight="1">
      <c r="D402" s="10"/>
    </row>
    <row r="403" spans="4:4" ht="15.75" customHeight="1">
      <c r="D403" s="10"/>
    </row>
    <row r="404" spans="4:4" ht="15.75" customHeight="1">
      <c r="D404" s="10"/>
    </row>
    <row r="405" spans="4:4" ht="15.75" customHeight="1">
      <c r="D405" s="10"/>
    </row>
    <row r="406" spans="4:4" ht="15.75" customHeight="1">
      <c r="D406" s="10"/>
    </row>
    <row r="407" spans="4:4" ht="15.75" customHeight="1">
      <c r="D407" s="10"/>
    </row>
    <row r="408" spans="4:4" ht="15.75" customHeight="1">
      <c r="D408" s="10"/>
    </row>
    <row r="409" spans="4:4" ht="15.75" customHeight="1">
      <c r="D409" s="10"/>
    </row>
    <row r="410" spans="4:4" ht="15.75" customHeight="1">
      <c r="D410" s="10"/>
    </row>
    <row r="411" spans="4:4" ht="15.75" customHeight="1">
      <c r="D411" s="10"/>
    </row>
    <row r="412" spans="4:4" ht="15.75" customHeight="1">
      <c r="D412" s="10"/>
    </row>
    <row r="413" spans="4:4" ht="15.75" customHeight="1">
      <c r="D413" s="10"/>
    </row>
    <row r="414" spans="4:4" ht="15.75" customHeight="1">
      <c r="D414" s="10"/>
    </row>
    <row r="415" spans="4:4" ht="15.75" customHeight="1">
      <c r="D415" s="10"/>
    </row>
    <row r="416" spans="4:4" ht="15.75" customHeight="1">
      <c r="D416" s="10"/>
    </row>
    <row r="417" spans="4:4" ht="15.75" customHeight="1">
      <c r="D417" s="10"/>
    </row>
    <row r="418" spans="4:4" ht="15.75" customHeight="1">
      <c r="D418" s="10"/>
    </row>
    <row r="419" spans="4:4" ht="15.75" customHeight="1">
      <c r="D419" s="10"/>
    </row>
    <row r="420" spans="4:4" ht="15.75" customHeight="1">
      <c r="D420" s="10"/>
    </row>
    <row r="421" spans="4:4" ht="15.75" customHeight="1">
      <c r="D421" s="10"/>
    </row>
    <row r="422" spans="4:4" ht="15.75" customHeight="1">
      <c r="D422" s="10"/>
    </row>
    <row r="423" spans="4:4" ht="15.75" customHeight="1">
      <c r="D423" s="10"/>
    </row>
    <row r="424" spans="4:4" ht="15.75" customHeight="1">
      <c r="D424" s="10"/>
    </row>
    <row r="425" spans="4:4" ht="15.75" customHeight="1">
      <c r="D425" s="10"/>
    </row>
    <row r="426" spans="4:4" ht="15.75" customHeight="1">
      <c r="D426" s="10"/>
    </row>
    <row r="427" spans="4:4" ht="15.75" customHeight="1">
      <c r="D427" s="10"/>
    </row>
    <row r="428" spans="4:4" ht="15.75" customHeight="1">
      <c r="D428" s="10"/>
    </row>
    <row r="429" spans="4:4" ht="15.75" customHeight="1">
      <c r="D429" s="10"/>
    </row>
    <row r="430" spans="4:4" ht="15.75" customHeight="1">
      <c r="D430" s="10"/>
    </row>
    <row r="431" spans="4:4" ht="15.75" customHeight="1">
      <c r="D431" s="10"/>
    </row>
    <row r="432" spans="4:4" ht="15.75" customHeight="1">
      <c r="D432" s="10"/>
    </row>
    <row r="433" spans="4:4" ht="15.75" customHeight="1">
      <c r="D433" s="10"/>
    </row>
    <row r="434" spans="4:4" ht="15.75" customHeight="1">
      <c r="D434" s="10"/>
    </row>
    <row r="435" spans="4:4" ht="15.75" customHeight="1">
      <c r="D435" s="10"/>
    </row>
    <row r="436" spans="4:4" ht="15.75" customHeight="1">
      <c r="D436" s="10"/>
    </row>
    <row r="437" spans="4:4" ht="15.75" customHeight="1">
      <c r="D437" s="10"/>
    </row>
    <row r="438" spans="4:4" ht="15.75" customHeight="1">
      <c r="D438" s="10"/>
    </row>
    <row r="439" spans="4:4" ht="15.75" customHeight="1">
      <c r="D439" s="10"/>
    </row>
    <row r="440" spans="4:4" ht="15.75" customHeight="1">
      <c r="D440" s="10"/>
    </row>
    <row r="441" spans="4:4" ht="15.75" customHeight="1">
      <c r="D441" s="10"/>
    </row>
    <row r="442" spans="4:4" ht="15.75" customHeight="1">
      <c r="D442" s="10"/>
    </row>
    <row r="443" spans="4:4" ht="15.75" customHeight="1">
      <c r="D443" s="10"/>
    </row>
    <row r="444" spans="4:4" ht="15.75" customHeight="1">
      <c r="D444" s="10"/>
    </row>
    <row r="445" spans="4:4" ht="15.75" customHeight="1">
      <c r="D445" s="10"/>
    </row>
    <row r="446" spans="4:4" ht="15.75" customHeight="1">
      <c r="D446" s="10"/>
    </row>
    <row r="447" spans="4:4" ht="15.75" customHeight="1">
      <c r="D447" s="10"/>
    </row>
    <row r="448" spans="4:4" ht="15.75" customHeight="1">
      <c r="D448" s="10"/>
    </row>
    <row r="449" spans="4:4" ht="15.75" customHeight="1">
      <c r="D449" s="10"/>
    </row>
    <row r="450" spans="4:4" ht="15.75" customHeight="1">
      <c r="D450" s="10"/>
    </row>
    <row r="451" spans="4:4" ht="15.75" customHeight="1">
      <c r="D451" s="10"/>
    </row>
    <row r="452" spans="4:4" ht="15.75" customHeight="1">
      <c r="D452" s="10"/>
    </row>
    <row r="453" spans="4:4" ht="15.75" customHeight="1">
      <c r="D453" s="10"/>
    </row>
    <row r="454" spans="4:4" ht="15.75" customHeight="1">
      <c r="D454" s="10"/>
    </row>
    <row r="455" spans="4:4" ht="15.75" customHeight="1">
      <c r="D455" s="10"/>
    </row>
    <row r="456" spans="4:4" ht="15.75" customHeight="1">
      <c r="D456" s="10"/>
    </row>
    <row r="457" spans="4:4" ht="15.75" customHeight="1">
      <c r="D457" s="10"/>
    </row>
    <row r="458" spans="4:4" ht="15.75" customHeight="1">
      <c r="D458" s="10"/>
    </row>
    <row r="459" spans="4:4" ht="15.75" customHeight="1">
      <c r="D459" s="10"/>
    </row>
    <row r="460" spans="4:4" ht="15.75" customHeight="1">
      <c r="D460" s="10"/>
    </row>
    <row r="461" spans="4:4" ht="15.75" customHeight="1">
      <c r="D461" s="10"/>
    </row>
    <row r="462" spans="4:4" ht="15.75" customHeight="1">
      <c r="D462" s="10"/>
    </row>
    <row r="463" spans="4:4" ht="15.75" customHeight="1">
      <c r="D463" s="10"/>
    </row>
    <row r="464" spans="4:4" ht="15.75" customHeight="1">
      <c r="D464" s="10"/>
    </row>
    <row r="465" spans="4:4" ht="15.75" customHeight="1">
      <c r="D465" s="10"/>
    </row>
    <row r="466" spans="4:4" ht="15.75" customHeight="1">
      <c r="D466" s="10"/>
    </row>
    <row r="467" spans="4:4" ht="15.75" customHeight="1">
      <c r="D467" s="10"/>
    </row>
    <row r="468" spans="4:4" ht="15.75" customHeight="1">
      <c r="D468" s="10"/>
    </row>
    <row r="469" spans="4:4" ht="15.75" customHeight="1">
      <c r="D469" s="10"/>
    </row>
    <row r="470" spans="4:4" ht="15.75" customHeight="1">
      <c r="D470" s="10"/>
    </row>
    <row r="471" spans="4:4" ht="15.75" customHeight="1">
      <c r="D471" s="10"/>
    </row>
    <row r="472" spans="4:4" ht="15.75" customHeight="1">
      <c r="D472" s="10"/>
    </row>
    <row r="473" spans="4:4" ht="15.75" customHeight="1">
      <c r="D473" s="10"/>
    </row>
    <row r="474" spans="4:4" ht="15.75" customHeight="1">
      <c r="D474" s="10"/>
    </row>
    <row r="475" spans="4:4" ht="15.75" customHeight="1">
      <c r="D475" s="10"/>
    </row>
    <row r="476" spans="4:4" ht="15.75" customHeight="1">
      <c r="D476" s="10"/>
    </row>
    <row r="477" spans="4:4" ht="15.75" customHeight="1">
      <c r="D477" s="10"/>
    </row>
    <row r="478" spans="4:4" ht="15.75" customHeight="1">
      <c r="D478" s="10"/>
    </row>
    <row r="479" spans="4:4" ht="15.75" customHeight="1">
      <c r="D479" s="10"/>
    </row>
    <row r="480" spans="4:4" ht="15.75" customHeight="1">
      <c r="D480" s="10"/>
    </row>
    <row r="481" spans="4:4" ht="15.75" customHeight="1">
      <c r="D481" s="10"/>
    </row>
    <row r="482" spans="4:4" ht="15.75" customHeight="1">
      <c r="D482" s="10"/>
    </row>
    <row r="483" spans="4:4" ht="15.75" customHeight="1">
      <c r="D483" s="10"/>
    </row>
    <row r="484" spans="4:4" ht="15.75" customHeight="1">
      <c r="D484" s="10"/>
    </row>
    <row r="485" spans="4:4" ht="15.75" customHeight="1">
      <c r="D485" s="10"/>
    </row>
    <row r="486" spans="4:4" ht="15.75" customHeight="1">
      <c r="D486" s="10"/>
    </row>
    <row r="487" spans="4:4" ht="15.75" customHeight="1">
      <c r="D487" s="10"/>
    </row>
    <row r="488" spans="4:4" ht="15.75" customHeight="1">
      <c r="D488" s="10"/>
    </row>
    <row r="489" spans="4:4" ht="15.75" customHeight="1">
      <c r="D489" s="10"/>
    </row>
    <row r="490" spans="4:4" ht="15.75" customHeight="1">
      <c r="D490" s="10"/>
    </row>
    <row r="491" spans="4:4" ht="15.75" customHeight="1">
      <c r="D491" s="10"/>
    </row>
    <row r="492" spans="4:4" ht="15.75" customHeight="1">
      <c r="D492" s="10"/>
    </row>
    <row r="493" spans="4:4" ht="15.75" customHeight="1">
      <c r="D493" s="10"/>
    </row>
    <row r="494" spans="4:4" ht="15.75" customHeight="1">
      <c r="D494" s="10"/>
    </row>
    <row r="495" spans="4:4" ht="15.75" customHeight="1">
      <c r="D495" s="10"/>
    </row>
    <row r="496" spans="4:4" ht="15.75" customHeight="1">
      <c r="D496" s="10"/>
    </row>
    <row r="497" spans="4:4" ht="15.75" customHeight="1">
      <c r="D497" s="10"/>
    </row>
    <row r="498" spans="4:4" ht="15.75" customHeight="1">
      <c r="D498" s="10"/>
    </row>
    <row r="499" spans="4:4" ht="15.75" customHeight="1">
      <c r="D499" s="10"/>
    </row>
    <row r="500" spans="4:4" ht="15.75" customHeight="1">
      <c r="D500" s="10"/>
    </row>
    <row r="501" spans="4:4" ht="15.75" customHeight="1">
      <c r="D501" s="10"/>
    </row>
    <row r="502" spans="4:4" ht="15.75" customHeight="1">
      <c r="D502" s="10"/>
    </row>
    <row r="503" spans="4:4" ht="15.75" customHeight="1">
      <c r="D503" s="10"/>
    </row>
    <row r="504" spans="4:4" ht="15.75" customHeight="1">
      <c r="D504" s="10"/>
    </row>
    <row r="505" spans="4:4" ht="15.75" customHeight="1">
      <c r="D505" s="10"/>
    </row>
    <row r="506" spans="4:4" ht="15.75" customHeight="1">
      <c r="D506" s="10"/>
    </row>
    <row r="507" spans="4:4" ht="15.75" customHeight="1">
      <c r="D507" s="10"/>
    </row>
    <row r="508" spans="4:4" ht="15.75" customHeight="1">
      <c r="D508" s="10"/>
    </row>
    <row r="509" spans="4:4" ht="15.75" customHeight="1">
      <c r="D509" s="10"/>
    </row>
    <row r="510" spans="4:4" ht="15.75" customHeight="1">
      <c r="D510" s="10"/>
    </row>
    <row r="511" spans="4:4" ht="15.75" customHeight="1">
      <c r="D511" s="10"/>
    </row>
    <row r="512" spans="4:4" ht="15.75" customHeight="1">
      <c r="D512" s="10"/>
    </row>
    <row r="513" spans="4:4" ht="15.75" customHeight="1">
      <c r="D513" s="10"/>
    </row>
    <row r="514" spans="4:4" ht="15.75" customHeight="1">
      <c r="D514" s="10"/>
    </row>
    <row r="515" spans="4:4" ht="15.75" customHeight="1">
      <c r="D515" s="10"/>
    </row>
    <row r="516" spans="4:4" ht="15.75" customHeight="1">
      <c r="D516" s="10"/>
    </row>
    <row r="517" spans="4:4" ht="15.75" customHeight="1">
      <c r="D517" s="10"/>
    </row>
    <row r="518" spans="4:4" ht="15.75" customHeight="1">
      <c r="D518" s="10"/>
    </row>
    <row r="519" spans="4:4" ht="15.75" customHeight="1">
      <c r="D519" s="10"/>
    </row>
    <row r="520" spans="4:4" ht="15.75" customHeight="1">
      <c r="D520" s="10"/>
    </row>
    <row r="521" spans="4:4" ht="15.75" customHeight="1">
      <c r="D521" s="10"/>
    </row>
    <row r="522" spans="4:4" ht="15.75" customHeight="1">
      <c r="D522" s="10"/>
    </row>
    <row r="523" spans="4:4" ht="15.75" customHeight="1">
      <c r="D523" s="10"/>
    </row>
    <row r="524" spans="4:4" ht="15.75" customHeight="1">
      <c r="D524" s="10"/>
    </row>
    <row r="525" spans="4:4" ht="15.75" customHeight="1">
      <c r="D525" s="10"/>
    </row>
    <row r="526" spans="4:4" ht="15.75" customHeight="1">
      <c r="D526" s="10"/>
    </row>
    <row r="527" spans="4:4" ht="15.75" customHeight="1">
      <c r="D527" s="10"/>
    </row>
    <row r="528" spans="4:4" ht="15.75" customHeight="1">
      <c r="D528" s="10"/>
    </row>
    <row r="529" spans="4:4" ht="15.75" customHeight="1">
      <c r="D529" s="10"/>
    </row>
    <row r="530" spans="4:4" ht="15.75" customHeight="1">
      <c r="D530" s="10"/>
    </row>
    <row r="531" spans="4:4" ht="15.75" customHeight="1">
      <c r="D531" s="10"/>
    </row>
    <row r="532" spans="4:4" ht="15.75" customHeight="1">
      <c r="D532" s="10"/>
    </row>
    <row r="533" spans="4:4" ht="15.75" customHeight="1">
      <c r="D533" s="10"/>
    </row>
    <row r="534" spans="4:4" ht="15.75" customHeight="1">
      <c r="D534" s="10"/>
    </row>
    <row r="535" spans="4:4" ht="15.75" customHeight="1">
      <c r="D535" s="10"/>
    </row>
    <row r="536" spans="4:4" ht="15.75" customHeight="1">
      <c r="D536" s="10"/>
    </row>
    <row r="537" spans="4:4" ht="15.75" customHeight="1">
      <c r="D537" s="10"/>
    </row>
    <row r="538" spans="4:4" ht="15.75" customHeight="1">
      <c r="D538" s="10"/>
    </row>
    <row r="539" spans="4:4" ht="15.75" customHeight="1">
      <c r="D539" s="10"/>
    </row>
    <row r="540" spans="4:4" ht="15.75" customHeight="1">
      <c r="D540" s="10"/>
    </row>
    <row r="541" spans="4:4" ht="15.75" customHeight="1">
      <c r="D541" s="10"/>
    </row>
    <row r="542" spans="4:4" ht="15.75" customHeight="1">
      <c r="D542" s="10"/>
    </row>
    <row r="543" spans="4:4" ht="15.75" customHeight="1">
      <c r="D543" s="10"/>
    </row>
    <row r="544" spans="4:4" ht="15.75" customHeight="1">
      <c r="D544" s="10"/>
    </row>
    <row r="545" spans="4:4" ht="15.75" customHeight="1">
      <c r="D545" s="10"/>
    </row>
    <row r="546" spans="4:4" ht="15.75" customHeight="1">
      <c r="D546" s="10"/>
    </row>
    <row r="547" spans="4:4" ht="15.75" customHeight="1">
      <c r="D547" s="10"/>
    </row>
    <row r="548" spans="4:4" ht="15.75" customHeight="1">
      <c r="D548" s="10"/>
    </row>
    <row r="549" spans="4:4" ht="15.75" customHeight="1">
      <c r="D549" s="10"/>
    </row>
    <row r="550" spans="4:4" ht="15.75" customHeight="1">
      <c r="D550" s="10"/>
    </row>
    <row r="551" spans="4:4" ht="15.75" customHeight="1">
      <c r="D551" s="10"/>
    </row>
    <row r="552" spans="4:4" ht="15.75" customHeight="1">
      <c r="D552" s="10"/>
    </row>
    <row r="553" spans="4:4" ht="15.75" customHeight="1">
      <c r="D553" s="10"/>
    </row>
    <row r="554" spans="4:4" ht="15.75" customHeight="1">
      <c r="D554" s="10"/>
    </row>
    <row r="555" spans="4:4" ht="15.75" customHeight="1">
      <c r="D555" s="10"/>
    </row>
    <row r="556" spans="4:4" ht="15.75" customHeight="1">
      <c r="D556" s="10"/>
    </row>
    <row r="557" spans="4:4" ht="15.75" customHeight="1">
      <c r="D557" s="10"/>
    </row>
    <row r="558" spans="4:4" ht="15.75" customHeight="1">
      <c r="D558" s="10"/>
    </row>
    <row r="559" spans="4:4" ht="15.75" customHeight="1">
      <c r="D559" s="10"/>
    </row>
    <row r="560" spans="4:4" ht="15.75" customHeight="1">
      <c r="D560" s="10"/>
    </row>
    <row r="561" spans="4:4" ht="15.75" customHeight="1">
      <c r="D561" s="10"/>
    </row>
    <row r="562" spans="4:4" ht="15.75" customHeight="1">
      <c r="D562" s="10"/>
    </row>
    <row r="563" spans="4:4" ht="15.75" customHeight="1">
      <c r="D563" s="10"/>
    </row>
    <row r="564" spans="4:4" ht="15.75" customHeight="1">
      <c r="D564" s="10"/>
    </row>
    <row r="565" spans="4:4" ht="15.75" customHeight="1">
      <c r="D565" s="10"/>
    </row>
    <row r="566" spans="4:4" ht="15.75" customHeight="1">
      <c r="D566" s="10"/>
    </row>
    <row r="567" spans="4:4" ht="15.75" customHeight="1">
      <c r="D567" s="10"/>
    </row>
    <row r="568" spans="4:4" ht="15.75" customHeight="1">
      <c r="D568" s="10"/>
    </row>
    <row r="569" spans="4:4" ht="15.75" customHeight="1">
      <c r="D569" s="10"/>
    </row>
    <row r="570" spans="4:4" ht="15.75" customHeight="1">
      <c r="D570" s="10"/>
    </row>
    <row r="571" spans="4:4" ht="15.75" customHeight="1">
      <c r="D571" s="10"/>
    </row>
    <row r="572" spans="4:4" ht="15.75" customHeight="1">
      <c r="D572" s="10"/>
    </row>
    <row r="573" spans="4:4" ht="15.75" customHeight="1">
      <c r="D573" s="10"/>
    </row>
    <row r="574" spans="4:4" ht="15.75" customHeight="1">
      <c r="D574" s="10"/>
    </row>
    <row r="575" spans="4:4" ht="15.75" customHeight="1">
      <c r="D575" s="10"/>
    </row>
    <row r="576" spans="4:4" ht="15.75" customHeight="1">
      <c r="D576" s="10"/>
    </row>
    <row r="577" spans="4:4" ht="15.75" customHeight="1">
      <c r="D577" s="10"/>
    </row>
    <row r="578" spans="4:4" ht="15.75" customHeight="1">
      <c r="D578" s="10"/>
    </row>
    <row r="579" spans="4:4" ht="15.75" customHeight="1">
      <c r="D579" s="10"/>
    </row>
    <row r="580" spans="4:4" ht="15.75" customHeight="1">
      <c r="D580" s="10"/>
    </row>
    <row r="581" spans="4:4" ht="15.75" customHeight="1">
      <c r="D581" s="10"/>
    </row>
    <row r="582" spans="4:4" ht="15.75" customHeight="1">
      <c r="D582" s="10"/>
    </row>
    <row r="583" spans="4:4" ht="15.75" customHeight="1">
      <c r="D583" s="10"/>
    </row>
    <row r="584" spans="4:4" ht="15.75" customHeight="1">
      <c r="D584" s="10"/>
    </row>
    <row r="585" spans="4:4" ht="15.75" customHeight="1">
      <c r="D585" s="10"/>
    </row>
    <row r="586" spans="4:4" ht="15.75" customHeight="1">
      <c r="D586" s="10"/>
    </row>
    <row r="587" spans="4:4" ht="15.75" customHeight="1">
      <c r="D587" s="10"/>
    </row>
    <row r="588" spans="4:4" ht="15.75" customHeight="1">
      <c r="D588" s="10"/>
    </row>
    <row r="589" spans="4:4" ht="15.75" customHeight="1">
      <c r="D589" s="10"/>
    </row>
    <row r="590" spans="4:4" ht="15.75" customHeight="1">
      <c r="D590" s="10"/>
    </row>
    <row r="591" spans="4:4" ht="15.75" customHeight="1">
      <c r="D591" s="10"/>
    </row>
    <row r="592" spans="4:4" ht="15.75" customHeight="1">
      <c r="D592" s="10"/>
    </row>
    <row r="593" spans="4:4" ht="15.75" customHeight="1">
      <c r="D593" s="10"/>
    </row>
    <row r="594" spans="4:4" ht="15.75" customHeight="1">
      <c r="D594" s="10"/>
    </row>
    <row r="595" spans="4:4" ht="15.75" customHeight="1">
      <c r="D595" s="10"/>
    </row>
    <row r="596" spans="4:4" ht="15.75" customHeight="1">
      <c r="D596" s="10"/>
    </row>
    <row r="597" spans="4:4" ht="15.75" customHeight="1">
      <c r="D597" s="10"/>
    </row>
    <row r="598" spans="4:4" ht="15.75" customHeight="1">
      <c r="D598" s="10"/>
    </row>
    <row r="599" spans="4:4" ht="15.75" customHeight="1">
      <c r="D599" s="10"/>
    </row>
    <row r="600" spans="4:4" ht="15.75" customHeight="1">
      <c r="D600" s="10"/>
    </row>
    <row r="601" spans="4:4" ht="15.75" customHeight="1">
      <c r="D601" s="10"/>
    </row>
    <row r="602" spans="4:4" ht="15.75" customHeight="1">
      <c r="D602" s="10"/>
    </row>
    <row r="603" spans="4:4" ht="15.75" customHeight="1">
      <c r="D603" s="10"/>
    </row>
    <row r="604" spans="4:4" ht="15.75" customHeight="1">
      <c r="D604" s="10"/>
    </row>
    <row r="605" spans="4:4" ht="15.75" customHeight="1">
      <c r="D605" s="10"/>
    </row>
    <row r="606" spans="4:4" ht="15.75" customHeight="1">
      <c r="D606" s="10"/>
    </row>
    <row r="607" spans="4:4" ht="15.75" customHeight="1">
      <c r="D607" s="10"/>
    </row>
    <row r="608" spans="4:4" ht="15.75" customHeight="1">
      <c r="D608" s="10"/>
    </row>
    <row r="609" spans="4:4" ht="15.75" customHeight="1">
      <c r="D609" s="10"/>
    </row>
    <row r="610" spans="4:4" ht="15.75" customHeight="1">
      <c r="D610" s="10"/>
    </row>
    <row r="611" spans="4:4" ht="15.75" customHeight="1">
      <c r="D611" s="10"/>
    </row>
    <row r="612" spans="4:4" ht="15.75" customHeight="1">
      <c r="D612" s="10"/>
    </row>
    <row r="613" spans="4:4" ht="15.75" customHeight="1">
      <c r="D613" s="10"/>
    </row>
    <row r="614" spans="4:4" ht="15.75" customHeight="1">
      <c r="D614" s="10"/>
    </row>
    <row r="615" spans="4:4" ht="15.75" customHeight="1">
      <c r="D615" s="10"/>
    </row>
    <row r="616" spans="4:4" ht="15.75" customHeight="1">
      <c r="D616" s="10"/>
    </row>
    <row r="617" spans="4:4" ht="15.75" customHeight="1">
      <c r="D617" s="10"/>
    </row>
    <row r="618" spans="4:4" ht="15.75" customHeight="1">
      <c r="D618" s="10"/>
    </row>
    <row r="619" spans="4:4" ht="15.75" customHeight="1">
      <c r="D619" s="10"/>
    </row>
    <row r="620" spans="4:4" ht="15.75" customHeight="1">
      <c r="D620" s="10"/>
    </row>
    <row r="621" spans="4:4" ht="15.75" customHeight="1">
      <c r="D621" s="10"/>
    </row>
    <row r="622" spans="4:4" ht="15.75" customHeight="1">
      <c r="D622" s="10"/>
    </row>
    <row r="623" spans="4:4" ht="15.75" customHeight="1">
      <c r="D623" s="10"/>
    </row>
    <row r="624" spans="4:4" ht="15.75" customHeight="1">
      <c r="D624" s="10"/>
    </row>
    <row r="625" spans="4:4" ht="15.75" customHeight="1">
      <c r="D625" s="10"/>
    </row>
    <row r="626" spans="4:4" ht="15.75" customHeight="1">
      <c r="D626" s="10"/>
    </row>
    <row r="627" spans="4:4" ht="15.75" customHeight="1">
      <c r="D627" s="10"/>
    </row>
    <row r="628" spans="4:4" ht="15.75" customHeight="1">
      <c r="D628" s="10"/>
    </row>
    <row r="629" spans="4:4" ht="15.75" customHeight="1">
      <c r="D629" s="10"/>
    </row>
    <row r="630" spans="4:4" ht="15.75" customHeight="1">
      <c r="D630" s="10"/>
    </row>
    <row r="631" spans="4:4" ht="15.75" customHeight="1">
      <c r="D631" s="10"/>
    </row>
    <row r="632" spans="4:4" ht="15.75" customHeight="1">
      <c r="D632" s="10"/>
    </row>
    <row r="633" spans="4:4" ht="15.75" customHeight="1">
      <c r="D633" s="10"/>
    </row>
    <row r="634" spans="4:4" ht="15.75" customHeight="1">
      <c r="D634" s="10"/>
    </row>
    <row r="635" spans="4:4" ht="15.75" customHeight="1">
      <c r="D635" s="10"/>
    </row>
    <row r="636" spans="4:4" ht="15.75" customHeight="1">
      <c r="D636" s="10"/>
    </row>
    <row r="637" spans="4:4" ht="15.75" customHeight="1">
      <c r="D637" s="10"/>
    </row>
    <row r="638" spans="4:4" ht="15.75" customHeight="1">
      <c r="D638" s="10"/>
    </row>
    <row r="639" spans="4:4" ht="15.75" customHeight="1">
      <c r="D639" s="10"/>
    </row>
    <row r="640" spans="4:4" ht="15.75" customHeight="1">
      <c r="D640" s="10"/>
    </row>
    <row r="641" spans="4:4" ht="15.75" customHeight="1">
      <c r="D641" s="10"/>
    </row>
    <row r="642" spans="4:4" ht="15.75" customHeight="1">
      <c r="D642" s="10"/>
    </row>
    <row r="643" spans="4:4" ht="15.75" customHeight="1">
      <c r="D643" s="10"/>
    </row>
    <row r="644" spans="4:4" ht="15.75" customHeight="1">
      <c r="D644" s="10"/>
    </row>
    <row r="645" spans="4:4" ht="15.75" customHeight="1">
      <c r="D645" s="10"/>
    </row>
    <row r="646" spans="4:4" ht="15.75" customHeight="1">
      <c r="D646" s="10"/>
    </row>
    <row r="647" spans="4:4" ht="15.75" customHeight="1">
      <c r="D647" s="10"/>
    </row>
    <row r="648" spans="4:4" ht="15.75" customHeight="1">
      <c r="D648" s="10"/>
    </row>
    <row r="649" spans="4:4" ht="15.75" customHeight="1">
      <c r="D649" s="10"/>
    </row>
    <row r="650" spans="4:4" ht="15.75" customHeight="1">
      <c r="D650" s="10"/>
    </row>
    <row r="651" spans="4:4" ht="15.75" customHeight="1">
      <c r="D651" s="10"/>
    </row>
    <row r="652" spans="4:4" ht="15.75" customHeight="1">
      <c r="D652" s="10"/>
    </row>
    <row r="653" spans="4:4" ht="15.75" customHeight="1">
      <c r="D653" s="10"/>
    </row>
    <row r="654" spans="4:4" ht="15.75" customHeight="1">
      <c r="D654" s="10"/>
    </row>
    <row r="655" spans="4:4" ht="15.75" customHeight="1">
      <c r="D655" s="10"/>
    </row>
    <row r="656" spans="4:4" ht="15.75" customHeight="1">
      <c r="D656" s="10"/>
    </row>
    <row r="657" spans="4:4" ht="15.75" customHeight="1">
      <c r="D657" s="10"/>
    </row>
    <row r="658" spans="4:4" ht="15.75" customHeight="1">
      <c r="D658" s="10"/>
    </row>
    <row r="659" spans="4:4" ht="15.75" customHeight="1">
      <c r="D659" s="10"/>
    </row>
    <row r="660" spans="4:4" ht="15.75" customHeight="1">
      <c r="D660" s="10"/>
    </row>
    <row r="661" spans="4:4" ht="15.75" customHeight="1">
      <c r="D661" s="10"/>
    </row>
    <row r="662" spans="4:4" ht="15.75" customHeight="1">
      <c r="D662" s="10"/>
    </row>
    <row r="663" spans="4:4" ht="15.75" customHeight="1">
      <c r="D663" s="10"/>
    </row>
    <row r="664" spans="4:4" ht="15.75" customHeight="1">
      <c r="D664" s="10"/>
    </row>
    <row r="665" spans="4:4" ht="15.75" customHeight="1">
      <c r="D665" s="10"/>
    </row>
    <row r="666" spans="4:4" ht="15.75" customHeight="1">
      <c r="D666" s="10"/>
    </row>
    <row r="667" spans="4:4" ht="15.75" customHeight="1">
      <c r="D667" s="10"/>
    </row>
    <row r="668" spans="4:4" ht="15.75" customHeight="1">
      <c r="D668" s="10"/>
    </row>
    <row r="669" spans="4:4" ht="15.75" customHeight="1">
      <c r="D669" s="10"/>
    </row>
    <row r="670" spans="4:4" ht="15.75" customHeight="1">
      <c r="D670" s="10"/>
    </row>
    <row r="671" spans="4:4" ht="15.75" customHeight="1">
      <c r="D671" s="10"/>
    </row>
    <row r="672" spans="4:4" ht="15.75" customHeight="1">
      <c r="D672" s="10"/>
    </row>
    <row r="673" spans="4:4" ht="15.75" customHeight="1">
      <c r="D673" s="10"/>
    </row>
    <row r="674" spans="4:4" ht="15.75" customHeight="1">
      <c r="D674" s="10"/>
    </row>
    <row r="675" spans="4:4" ht="15.75" customHeight="1">
      <c r="D675" s="10"/>
    </row>
    <row r="676" spans="4:4" ht="15.75" customHeight="1">
      <c r="D676" s="10"/>
    </row>
    <row r="677" spans="4:4" ht="15.75" customHeight="1">
      <c r="D677" s="10"/>
    </row>
    <row r="678" spans="4:4" ht="15.75" customHeight="1">
      <c r="D678" s="10"/>
    </row>
    <row r="679" spans="4:4" ht="15.75" customHeight="1">
      <c r="D679" s="10"/>
    </row>
    <row r="680" spans="4:4" ht="15.75" customHeight="1">
      <c r="D680" s="10"/>
    </row>
    <row r="681" spans="4:4" ht="15.75" customHeight="1">
      <c r="D681" s="10"/>
    </row>
    <row r="682" spans="4:4" ht="15.75" customHeight="1">
      <c r="D682" s="10"/>
    </row>
    <row r="683" spans="4:4" ht="15.75" customHeight="1">
      <c r="D683" s="10"/>
    </row>
    <row r="684" spans="4:4" ht="15.75" customHeight="1">
      <c r="D684" s="10"/>
    </row>
    <row r="685" spans="4:4" ht="15.75" customHeight="1">
      <c r="D685" s="10"/>
    </row>
    <row r="686" spans="4:4" ht="15.75" customHeight="1">
      <c r="D686" s="10"/>
    </row>
    <row r="687" spans="4:4" ht="15.75" customHeight="1">
      <c r="D687" s="10"/>
    </row>
    <row r="688" spans="4:4" ht="15.75" customHeight="1">
      <c r="D688" s="10"/>
    </row>
    <row r="689" spans="4:4" ht="15.75" customHeight="1">
      <c r="D689" s="10"/>
    </row>
    <row r="690" spans="4:4" ht="15.75" customHeight="1">
      <c r="D690" s="10"/>
    </row>
    <row r="691" spans="4:4" ht="15.75" customHeight="1">
      <c r="D691" s="10"/>
    </row>
    <row r="692" spans="4:4" ht="15.75" customHeight="1">
      <c r="D692" s="10"/>
    </row>
    <row r="693" spans="4:4" ht="15.75" customHeight="1">
      <c r="D693" s="10"/>
    </row>
    <row r="694" spans="4:4" ht="15.75" customHeight="1">
      <c r="D694" s="10"/>
    </row>
    <row r="695" spans="4:4" ht="15.75" customHeight="1">
      <c r="D695" s="10"/>
    </row>
    <row r="696" spans="4:4" ht="15.75" customHeight="1">
      <c r="D696" s="10"/>
    </row>
    <row r="697" spans="4:4" ht="15.75" customHeight="1">
      <c r="D697" s="10"/>
    </row>
    <row r="698" spans="4:4" ht="15.75" customHeight="1">
      <c r="D698" s="10"/>
    </row>
    <row r="699" spans="4:4" ht="15.75" customHeight="1">
      <c r="D699" s="10"/>
    </row>
    <row r="700" spans="4:4" ht="15.75" customHeight="1">
      <c r="D700" s="10"/>
    </row>
    <row r="701" spans="4:4" ht="15.75" customHeight="1">
      <c r="D701" s="10"/>
    </row>
    <row r="702" spans="4:4" ht="15.75" customHeight="1">
      <c r="D702" s="10"/>
    </row>
    <row r="703" spans="4:4" ht="15.75" customHeight="1">
      <c r="D703" s="10"/>
    </row>
    <row r="704" spans="4:4" ht="15.75" customHeight="1">
      <c r="D704" s="10"/>
    </row>
    <row r="705" spans="4:4" ht="15.75" customHeight="1">
      <c r="D705" s="10"/>
    </row>
    <row r="706" spans="4:4" ht="15.75" customHeight="1">
      <c r="D706" s="10"/>
    </row>
    <row r="707" spans="4:4" ht="15.75" customHeight="1">
      <c r="D707" s="10"/>
    </row>
    <row r="708" spans="4:4" ht="15.75" customHeight="1">
      <c r="D708" s="10"/>
    </row>
    <row r="709" spans="4:4" ht="15.75" customHeight="1">
      <c r="D709" s="10"/>
    </row>
    <row r="710" spans="4:4" ht="15.75" customHeight="1">
      <c r="D710" s="10"/>
    </row>
    <row r="711" spans="4:4" ht="15.75" customHeight="1">
      <c r="D711" s="10"/>
    </row>
    <row r="712" spans="4:4" ht="15.75" customHeight="1">
      <c r="D712" s="10"/>
    </row>
    <row r="713" spans="4:4" ht="15.75" customHeight="1">
      <c r="D713" s="10"/>
    </row>
    <row r="714" spans="4:4" ht="15.75" customHeight="1">
      <c r="D714" s="10"/>
    </row>
    <row r="715" spans="4:4" ht="15.75" customHeight="1">
      <c r="D715" s="10"/>
    </row>
    <row r="716" spans="4:4" ht="15.75" customHeight="1">
      <c r="D716" s="10"/>
    </row>
    <row r="717" spans="4:4" ht="15.75" customHeight="1">
      <c r="D717" s="10"/>
    </row>
    <row r="718" spans="4:4" ht="15.75" customHeight="1">
      <c r="D718" s="10"/>
    </row>
    <row r="719" spans="4:4" ht="15.75" customHeight="1">
      <c r="D719" s="10"/>
    </row>
    <row r="720" spans="4:4" ht="15.75" customHeight="1">
      <c r="D720" s="10"/>
    </row>
    <row r="721" spans="4:4" ht="15.75" customHeight="1">
      <c r="D721" s="10"/>
    </row>
    <row r="722" spans="4:4" ht="15.75" customHeight="1">
      <c r="D722" s="10"/>
    </row>
    <row r="723" spans="4:4" ht="15.75" customHeight="1">
      <c r="D723" s="10"/>
    </row>
    <row r="724" spans="4:4" ht="15.75" customHeight="1">
      <c r="D724" s="10"/>
    </row>
    <row r="725" spans="4:4" ht="15.75" customHeight="1">
      <c r="D725" s="10"/>
    </row>
    <row r="726" spans="4:4" ht="15.75" customHeight="1">
      <c r="D726" s="10"/>
    </row>
    <row r="727" spans="4:4" ht="15.75" customHeight="1">
      <c r="D727" s="10"/>
    </row>
    <row r="728" spans="4:4" ht="15.75" customHeight="1">
      <c r="D728" s="10"/>
    </row>
    <row r="729" spans="4:4" ht="15.75" customHeight="1">
      <c r="D729" s="10"/>
    </row>
    <row r="730" spans="4:4" ht="15.75" customHeight="1">
      <c r="D730" s="10"/>
    </row>
    <row r="731" spans="4:4" ht="15.75" customHeight="1">
      <c r="D731" s="10"/>
    </row>
    <row r="732" spans="4:4" ht="15.75" customHeight="1">
      <c r="D732" s="10"/>
    </row>
    <row r="733" spans="4:4" ht="15.75" customHeight="1">
      <c r="D733" s="10"/>
    </row>
    <row r="734" spans="4:4" ht="15.75" customHeight="1">
      <c r="D734" s="10"/>
    </row>
    <row r="735" spans="4:4" ht="15.75" customHeight="1">
      <c r="D735" s="10"/>
    </row>
    <row r="736" spans="4:4" ht="15.75" customHeight="1">
      <c r="D736" s="10"/>
    </row>
    <row r="737" spans="4:4" ht="15.75" customHeight="1">
      <c r="D737" s="10"/>
    </row>
    <row r="738" spans="4:4" ht="15.75" customHeight="1">
      <c r="D738" s="10"/>
    </row>
    <row r="739" spans="4:4" ht="15.75" customHeight="1">
      <c r="D739" s="10"/>
    </row>
    <row r="740" spans="4:4" ht="15.75" customHeight="1">
      <c r="D740" s="10"/>
    </row>
    <row r="741" spans="4:4" ht="15.75" customHeight="1">
      <c r="D741" s="10"/>
    </row>
    <row r="742" spans="4:4" ht="15.75" customHeight="1">
      <c r="D742" s="10"/>
    </row>
    <row r="743" spans="4:4" ht="15.75" customHeight="1">
      <c r="D743" s="10"/>
    </row>
    <row r="744" spans="4:4" ht="15.75" customHeight="1">
      <c r="D744" s="10"/>
    </row>
    <row r="745" spans="4:4" ht="15.75" customHeight="1">
      <c r="D745" s="10"/>
    </row>
    <row r="746" spans="4:4" ht="15.75" customHeight="1">
      <c r="D746" s="10"/>
    </row>
    <row r="747" spans="4:4" ht="15.75" customHeight="1">
      <c r="D747" s="10"/>
    </row>
    <row r="748" spans="4:4" ht="15.75" customHeight="1">
      <c r="D748" s="10"/>
    </row>
    <row r="749" spans="4:4" ht="15.75" customHeight="1">
      <c r="D749" s="10"/>
    </row>
    <row r="750" spans="4:4" ht="15.75" customHeight="1">
      <c r="D750" s="10"/>
    </row>
    <row r="751" spans="4:4" ht="15.75" customHeight="1">
      <c r="D751" s="10"/>
    </row>
    <row r="752" spans="4:4" ht="15.75" customHeight="1">
      <c r="D752" s="10"/>
    </row>
    <row r="753" spans="4:4" ht="15.75" customHeight="1">
      <c r="D753" s="10"/>
    </row>
    <row r="754" spans="4:4" ht="15.75" customHeight="1">
      <c r="D754" s="10"/>
    </row>
    <row r="755" spans="4:4" ht="15.75" customHeight="1">
      <c r="D755" s="10"/>
    </row>
    <row r="756" spans="4:4" ht="15.75" customHeight="1">
      <c r="D756" s="10"/>
    </row>
    <row r="757" spans="4:4" ht="15.75" customHeight="1">
      <c r="D757" s="10"/>
    </row>
    <row r="758" spans="4:4" ht="15.75" customHeight="1">
      <c r="D758" s="10"/>
    </row>
    <row r="759" spans="4:4" ht="15.75" customHeight="1">
      <c r="D759" s="10"/>
    </row>
    <row r="760" spans="4:4" ht="15.75" customHeight="1">
      <c r="D760" s="10"/>
    </row>
    <row r="761" spans="4:4" ht="15.75" customHeight="1">
      <c r="D761" s="10"/>
    </row>
    <row r="762" spans="4:4" ht="15.75" customHeight="1">
      <c r="D762" s="10"/>
    </row>
    <row r="763" spans="4:4" ht="15.75" customHeight="1">
      <c r="D763" s="10"/>
    </row>
    <row r="764" spans="4:4" ht="15.75" customHeight="1">
      <c r="D764" s="10"/>
    </row>
    <row r="765" spans="4:4" ht="15.75" customHeight="1">
      <c r="D765" s="10"/>
    </row>
    <row r="766" spans="4:4" ht="15.75" customHeight="1">
      <c r="D766" s="10"/>
    </row>
    <row r="767" spans="4:4" ht="15.75" customHeight="1">
      <c r="D767" s="10"/>
    </row>
    <row r="768" spans="4:4" ht="15.75" customHeight="1">
      <c r="D768" s="10"/>
    </row>
    <row r="769" spans="4:4" ht="15.75" customHeight="1">
      <c r="D769" s="10"/>
    </row>
    <row r="770" spans="4:4" ht="15.75" customHeight="1">
      <c r="D770" s="10"/>
    </row>
    <row r="771" spans="4:4" ht="15.75" customHeight="1">
      <c r="D771" s="10"/>
    </row>
    <row r="772" spans="4:4" ht="15.75" customHeight="1">
      <c r="D772" s="10"/>
    </row>
    <row r="773" spans="4:4" ht="15.75" customHeight="1">
      <c r="D773" s="10"/>
    </row>
    <row r="774" spans="4:4" ht="15.75" customHeight="1">
      <c r="D774" s="10"/>
    </row>
    <row r="775" spans="4:4" ht="15.75" customHeight="1">
      <c r="D775" s="10"/>
    </row>
    <row r="776" spans="4:4" ht="15.75" customHeight="1">
      <c r="D776" s="10"/>
    </row>
    <row r="777" spans="4:4" ht="15.75" customHeight="1">
      <c r="D777" s="10"/>
    </row>
    <row r="778" spans="4:4" ht="15.75" customHeight="1">
      <c r="D778" s="10"/>
    </row>
    <row r="779" spans="4:4" ht="15.75" customHeight="1">
      <c r="D779" s="10"/>
    </row>
    <row r="780" spans="4:4" ht="15.75" customHeight="1">
      <c r="D780" s="10"/>
    </row>
    <row r="781" spans="4:4" ht="15.75" customHeight="1">
      <c r="D781" s="10"/>
    </row>
    <row r="782" spans="4:4" ht="15.75" customHeight="1">
      <c r="D782" s="10"/>
    </row>
    <row r="783" spans="4:4" ht="15.75" customHeight="1">
      <c r="D783" s="10"/>
    </row>
    <row r="784" spans="4:4" ht="15.75" customHeight="1">
      <c r="D784" s="10"/>
    </row>
    <row r="785" spans="4:4" ht="15.75" customHeight="1">
      <c r="D785" s="10"/>
    </row>
    <row r="786" spans="4:4" ht="15.75" customHeight="1">
      <c r="D786" s="10"/>
    </row>
    <row r="787" spans="4:4" ht="15.75" customHeight="1">
      <c r="D787" s="10"/>
    </row>
    <row r="788" spans="4:4" ht="15.75" customHeight="1">
      <c r="D788" s="10"/>
    </row>
    <row r="789" spans="4:4" ht="15.75" customHeight="1">
      <c r="D789" s="10"/>
    </row>
    <row r="790" spans="4:4" ht="15.75" customHeight="1">
      <c r="D790" s="10"/>
    </row>
    <row r="791" spans="4:4" ht="15.75" customHeight="1">
      <c r="D791" s="10"/>
    </row>
    <row r="792" spans="4:4" ht="15.75" customHeight="1">
      <c r="D792" s="10"/>
    </row>
    <row r="793" spans="4:4" ht="15.75" customHeight="1">
      <c r="D793" s="10"/>
    </row>
    <row r="794" spans="4:4" ht="15.75" customHeight="1">
      <c r="D794" s="10"/>
    </row>
    <row r="795" spans="4:4" ht="15.75" customHeight="1">
      <c r="D795" s="10"/>
    </row>
    <row r="796" spans="4:4" ht="15.75" customHeight="1">
      <c r="D796" s="10"/>
    </row>
    <row r="797" spans="4:4" ht="15.75" customHeight="1">
      <c r="D797" s="10"/>
    </row>
    <row r="798" spans="4:4" ht="15.75" customHeight="1">
      <c r="D798" s="10"/>
    </row>
    <row r="799" spans="4:4" ht="15.75" customHeight="1">
      <c r="D799" s="10"/>
    </row>
    <row r="800" spans="4:4" ht="15.75" customHeight="1">
      <c r="D800" s="10"/>
    </row>
    <row r="801" spans="4:4" ht="15.75" customHeight="1">
      <c r="D801" s="10"/>
    </row>
    <row r="802" spans="4:4" ht="15.75" customHeight="1">
      <c r="D802" s="10"/>
    </row>
    <row r="803" spans="4:4" ht="15.75" customHeight="1">
      <c r="D803" s="10"/>
    </row>
    <row r="804" spans="4:4" ht="15.75" customHeight="1">
      <c r="D804" s="10"/>
    </row>
    <row r="805" spans="4:4" ht="15.75" customHeight="1">
      <c r="D805" s="10"/>
    </row>
    <row r="806" spans="4:4" ht="15.75" customHeight="1">
      <c r="D806" s="10"/>
    </row>
    <row r="807" spans="4:4" ht="15.75" customHeight="1">
      <c r="D807" s="10"/>
    </row>
    <row r="808" spans="4:4" ht="15.75" customHeight="1">
      <c r="D808" s="10"/>
    </row>
    <row r="809" spans="4:4" ht="15.75" customHeight="1">
      <c r="D809" s="10"/>
    </row>
    <row r="810" spans="4:4" ht="15.75" customHeight="1">
      <c r="D810" s="10"/>
    </row>
    <row r="811" spans="4:4" ht="15.75" customHeight="1">
      <c r="D811" s="10"/>
    </row>
    <row r="812" spans="4:4" ht="15.75" customHeight="1">
      <c r="D812" s="10"/>
    </row>
    <row r="813" spans="4:4" ht="15.75" customHeight="1">
      <c r="D813" s="10"/>
    </row>
    <row r="814" spans="4:4" ht="15.75" customHeight="1">
      <c r="D814" s="10"/>
    </row>
    <row r="815" spans="4:4" ht="15.75" customHeight="1">
      <c r="D815" s="10"/>
    </row>
    <row r="816" spans="4:4" ht="15.75" customHeight="1">
      <c r="D816" s="10"/>
    </row>
    <row r="817" spans="4:4" ht="15.75" customHeight="1">
      <c r="D817" s="10"/>
    </row>
    <row r="818" spans="4:4" ht="15.75" customHeight="1">
      <c r="D818" s="10"/>
    </row>
    <row r="819" spans="4:4" ht="15.75" customHeight="1">
      <c r="D819" s="10"/>
    </row>
    <row r="820" spans="4:4" ht="15.75" customHeight="1">
      <c r="D820" s="10"/>
    </row>
    <row r="821" spans="4:4" ht="15.75" customHeight="1">
      <c r="D821" s="10"/>
    </row>
    <row r="822" spans="4:4" ht="15.75" customHeight="1">
      <c r="D822" s="10"/>
    </row>
    <row r="823" spans="4:4" ht="15.75" customHeight="1">
      <c r="D823" s="10"/>
    </row>
    <row r="824" spans="4:4" ht="15.75" customHeight="1">
      <c r="D824" s="10"/>
    </row>
    <row r="825" spans="4:4" ht="15.75" customHeight="1">
      <c r="D825" s="10"/>
    </row>
    <row r="826" spans="4:4" ht="15.75" customHeight="1">
      <c r="D826" s="10"/>
    </row>
    <row r="827" spans="4:4" ht="15.75" customHeight="1">
      <c r="D827" s="10"/>
    </row>
    <row r="828" spans="4:4" ht="15.75" customHeight="1">
      <c r="D828" s="10"/>
    </row>
    <row r="829" spans="4:4" ht="15.75" customHeight="1">
      <c r="D829" s="10"/>
    </row>
    <row r="830" spans="4:4" ht="15.75" customHeight="1">
      <c r="D830" s="10"/>
    </row>
    <row r="831" spans="4:4" ht="15.75" customHeight="1">
      <c r="D831" s="10"/>
    </row>
    <row r="832" spans="4:4" ht="15.75" customHeight="1">
      <c r="D832" s="10"/>
    </row>
    <row r="833" spans="4:4" ht="15.75" customHeight="1">
      <c r="D833" s="10"/>
    </row>
    <row r="834" spans="4:4" ht="15.75" customHeight="1">
      <c r="D834" s="10"/>
    </row>
    <row r="835" spans="4:4" ht="15.75" customHeight="1">
      <c r="D835" s="10"/>
    </row>
    <row r="836" spans="4:4" ht="15.75" customHeight="1">
      <c r="D836" s="10"/>
    </row>
    <row r="837" spans="4:4" ht="15.75" customHeight="1">
      <c r="D837" s="10"/>
    </row>
    <row r="838" spans="4:4" ht="15.75" customHeight="1">
      <c r="D838" s="10"/>
    </row>
    <row r="839" spans="4:4" ht="15.75" customHeight="1">
      <c r="D839" s="10"/>
    </row>
    <row r="840" spans="4:4" ht="15.75" customHeight="1">
      <c r="D840" s="10"/>
    </row>
    <row r="841" spans="4:4" ht="15.75" customHeight="1">
      <c r="D841" s="10"/>
    </row>
    <row r="842" spans="4:4" ht="15.75" customHeight="1">
      <c r="D842" s="10"/>
    </row>
    <row r="843" spans="4:4" ht="15.75" customHeight="1">
      <c r="D843" s="10"/>
    </row>
    <row r="844" spans="4:4" ht="15.75" customHeight="1">
      <c r="D844" s="10"/>
    </row>
    <row r="845" spans="4:4" ht="15.75" customHeight="1">
      <c r="D845" s="10"/>
    </row>
    <row r="846" spans="4:4" ht="15.75" customHeight="1">
      <c r="D846" s="10"/>
    </row>
    <row r="847" spans="4:4" ht="15.75" customHeight="1">
      <c r="D847" s="10"/>
    </row>
    <row r="848" spans="4:4" ht="15.75" customHeight="1">
      <c r="D848" s="10"/>
    </row>
    <row r="849" spans="4:4" ht="15.75" customHeight="1">
      <c r="D849" s="10"/>
    </row>
    <row r="850" spans="4:4" ht="15.75" customHeight="1">
      <c r="D850" s="10"/>
    </row>
    <row r="851" spans="4:4" ht="15.75" customHeight="1">
      <c r="D851" s="10"/>
    </row>
    <row r="852" spans="4:4" ht="15.75" customHeight="1">
      <c r="D852" s="10"/>
    </row>
    <row r="853" spans="4:4" ht="15.75" customHeight="1">
      <c r="D853" s="10"/>
    </row>
    <row r="854" spans="4:4" ht="15.75" customHeight="1">
      <c r="D854" s="10"/>
    </row>
    <row r="855" spans="4:4" ht="15.75" customHeight="1">
      <c r="D855" s="10"/>
    </row>
    <row r="856" spans="4:4" ht="15.75" customHeight="1">
      <c r="D856" s="10"/>
    </row>
    <row r="857" spans="4:4" ht="15.75" customHeight="1">
      <c r="D857" s="10"/>
    </row>
    <row r="858" spans="4:4" ht="15.75" customHeight="1">
      <c r="D858" s="10"/>
    </row>
    <row r="859" spans="4:4" ht="15.75" customHeight="1">
      <c r="D859" s="10"/>
    </row>
    <row r="860" spans="4:4" ht="15.75" customHeight="1">
      <c r="D860" s="10"/>
    </row>
    <row r="861" spans="4:4" ht="15.75" customHeight="1">
      <c r="D861" s="10"/>
    </row>
    <row r="862" spans="4:4" ht="15.75" customHeight="1">
      <c r="D862" s="10"/>
    </row>
    <row r="863" spans="4:4" ht="15.75" customHeight="1">
      <c r="D863" s="10"/>
    </row>
    <row r="864" spans="4:4" ht="15.75" customHeight="1">
      <c r="D864" s="10"/>
    </row>
    <row r="865" spans="4:4" ht="15.75" customHeight="1">
      <c r="D865" s="10"/>
    </row>
    <row r="866" spans="4:4" ht="15.75" customHeight="1">
      <c r="D866" s="10"/>
    </row>
    <row r="867" spans="4:4" ht="15.75" customHeight="1">
      <c r="D867" s="10"/>
    </row>
    <row r="868" spans="4:4" ht="15.75" customHeight="1">
      <c r="D868" s="10"/>
    </row>
    <row r="869" spans="4:4" ht="15.75" customHeight="1">
      <c r="D869" s="10"/>
    </row>
    <row r="870" spans="4:4" ht="15.75" customHeight="1">
      <c r="D870" s="10"/>
    </row>
    <row r="871" spans="4:4" ht="15.75" customHeight="1">
      <c r="D871" s="10"/>
    </row>
    <row r="872" spans="4:4" ht="15.75" customHeight="1">
      <c r="D872" s="10"/>
    </row>
    <row r="873" spans="4:4" ht="15.75" customHeight="1">
      <c r="D873" s="10"/>
    </row>
    <row r="874" spans="4:4" ht="15.75" customHeight="1">
      <c r="D874" s="10"/>
    </row>
    <row r="875" spans="4:4" ht="15.75" customHeight="1">
      <c r="D875" s="10"/>
    </row>
    <row r="876" spans="4:4" ht="15.75" customHeight="1">
      <c r="D876" s="10"/>
    </row>
    <row r="877" spans="4:4" ht="15.75" customHeight="1">
      <c r="D877" s="10"/>
    </row>
    <row r="878" spans="4:4" ht="15.75" customHeight="1">
      <c r="D878" s="10"/>
    </row>
    <row r="879" spans="4:4" ht="15.75" customHeight="1">
      <c r="D879" s="10"/>
    </row>
    <row r="880" spans="4:4" ht="15.75" customHeight="1">
      <c r="D880" s="10"/>
    </row>
    <row r="881" spans="4:4" ht="15.75" customHeight="1">
      <c r="D881" s="10"/>
    </row>
    <row r="882" spans="4:4" ht="15.75" customHeight="1">
      <c r="D882" s="10"/>
    </row>
    <row r="883" spans="4:4" ht="15.75" customHeight="1">
      <c r="D883" s="10"/>
    </row>
    <row r="884" spans="4:4" ht="15.75" customHeight="1">
      <c r="D884" s="10"/>
    </row>
    <row r="885" spans="4:4" ht="15.75" customHeight="1">
      <c r="D885" s="10"/>
    </row>
    <row r="886" spans="4:4" ht="15.75" customHeight="1">
      <c r="D886" s="10"/>
    </row>
    <row r="887" spans="4:4" ht="15.75" customHeight="1">
      <c r="D887" s="10"/>
    </row>
    <row r="888" spans="4:4" ht="15.75" customHeight="1">
      <c r="D888" s="10"/>
    </row>
    <row r="889" spans="4:4" ht="15.75" customHeight="1">
      <c r="D889" s="10"/>
    </row>
    <row r="890" spans="4:4" ht="15.75" customHeight="1">
      <c r="D890" s="10"/>
    </row>
    <row r="891" spans="4:4" ht="15.75" customHeight="1">
      <c r="D891" s="10"/>
    </row>
    <row r="892" spans="4:4" ht="15.75" customHeight="1">
      <c r="D892" s="10"/>
    </row>
    <row r="893" spans="4:4" ht="15.75" customHeight="1">
      <c r="D893" s="10"/>
    </row>
    <row r="894" spans="4:4" ht="15.75" customHeight="1">
      <c r="D894" s="10"/>
    </row>
    <row r="895" spans="4:4" ht="15.75" customHeight="1">
      <c r="D895" s="10"/>
    </row>
    <row r="896" spans="4:4" ht="15.75" customHeight="1">
      <c r="D896" s="10"/>
    </row>
    <row r="897" spans="4:4" ht="15.75" customHeight="1">
      <c r="D897" s="10"/>
    </row>
    <row r="898" spans="4:4" ht="15.75" customHeight="1">
      <c r="D898" s="10"/>
    </row>
    <row r="899" spans="4:4" ht="15.75" customHeight="1">
      <c r="D899" s="10"/>
    </row>
    <row r="900" spans="4:4" ht="15.75" customHeight="1">
      <c r="D900" s="10"/>
    </row>
    <row r="901" spans="4:4" ht="15.75" customHeight="1">
      <c r="D901" s="10"/>
    </row>
    <row r="902" spans="4:4" ht="15.75" customHeight="1">
      <c r="D902" s="10"/>
    </row>
    <row r="903" spans="4:4" ht="15.75" customHeight="1">
      <c r="D903" s="10"/>
    </row>
    <row r="904" spans="4:4" ht="15.75" customHeight="1">
      <c r="D904" s="10"/>
    </row>
    <row r="905" spans="4:4" ht="15.75" customHeight="1">
      <c r="D905" s="10"/>
    </row>
    <row r="906" spans="4:4" ht="15.75" customHeight="1">
      <c r="D906" s="10"/>
    </row>
    <row r="907" spans="4:4" ht="15.75" customHeight="1">
      <c r="D907" s="10"/>
    </row>
    <row r="908" spans="4:4" ht="15.75" customHeight="1">
      <c r="D908" s="10"/>
    </row>
    <row r="909" spans="4:4" ht="15.75" customHeight="1">
      <c r="D909" s="10"/>
    </row>
    <row r="910" spans="4:4" ht="15.75" customHeight="1">
      <c r="D910" s="10"/>
    </row>
    <row r="911" spans="4:4" ht="15.75" customHeight="1">
      <c r="D911" s="10"/>
    </row>
    <row r="912" spans="4:4" ht="15.75" customHeight="1">
      <c r="D912" s="10"/>
    </row>
    <row r="913" spans="4:4" ht="15.75" customHeight="1">
      <c r="D913" s="10"/>
    </row>
    <row r="914" spans="4:4" ht="15.75" customHeight="1">
      <c r="D914" s="10"/>
    </row>
    <row r="915" spans="4:4" ht="15.75" customHeight="1">
      <c r="D915" s="10"/>
    </row>
    <row r="916" spans="4:4" ht="15.75" customHeight="1">
      <c r="D916" s="10"/>
    </row>
    <row r="917" spans="4:4" ht="15.75" customHeight="1">
      <c r="D917" s="10"/>
    </row>
    <row r="918" spans="4:4" ht="15.75" customHeight="1">
      <c r="D918" s="10"/>
    </row>
    <row r="919" spans="4:4" ht="15.75" customHeight="1">
      <c r="D919" s="10"/>
    </row>
    <row r="920" spans="4:4" ht="15.75" customHeight="1">
      <c r="D920" s="10"/>
    </row>
    <row r="921" spans="4:4" ht="15.75" customHeight="1">
      <c r="D921" s="10"/>
    </row>
    <row r="922" spans="4:4" ht="15.75" customHeight="1">
      <c r="D922" s="10"/>
    </row>
    <row r="923" spans="4:4" ht="15.75" customHeight="1">
      <c r="D923" s="10"/>
    </row>
    <row r="924" spans="4:4" ht="15.75" customHeight="1">
      <c r="D924" s="10"/>
    </row>
    <row r="925" spans="4:4" ht="15.75" customHeight="1">
      <c r="D925" s="10"/>
    </row>
    <row r="926" spans="4:4" ht="15.75" customHeight="1">
      <c r="D926" s="10"/>
    </row>
    <row r="927" spans="4:4" ht="15.75" customHeight="1">
      <c r="D927" s="10"/>
    </row>
    <row r="928" spans="4:4" ht="15.75" customHeight="1">
      <c r="D928" s="10"/>
    </row>
    <row r="929" spans="4:4" ht="15.75" customHeight="1">
      <c r="D929" s="10"/>
    </row>
    <row r="930" spans="4:4" ht="15.75" customHeight="1">
      <c r="D930" s="10"/>
    </row>
    <row r="931" spans="4:4" ht="15.75" customHeight="1">
      <c r="D931" s="10"/>
    </row>
    <row r="932" spans="4:4" ht="15.75" customHeight="1">
      <c r="D932" s="10"/>
    </row>
    <row r="933" spans="4:4" ht="15.75" customHeight="1">
      <c r="D933" s="10"/>
    </row>
    <row r="934" spans="4:4" ht="15.75" customHeight="1">
      <c r="D934" s="10"/>
    </row>
    <row r="935" spans="4:4" ht="15.75" customHeight="1">
      <c r="D935" s="10"/>
    </row>
    <row r="936" spans="4:4" ht="15.75" customHeight="1">
      <c r="D936" s="10"/>
    </row>
    <row r="937" spans="4:4" ht="15.75" customHeight="1">
      <c r="D937" s="10"/>
    </row>
    <row r="938" spans="4:4" ht="15.75" customHeight="1">
      <c r="D938" s="10"/>
    </row>
    <row r="939" spans="4:4" ht="15.75" customHeight="1">
      <c r="D939" s="10"/>
    </row>
    <row r="940" spans="4:4" ht="15.75" customHeight="1">
      <c r="D940" s="10"/>
    </row>
    <row r="941" spans="4:4" ht="15.75" customHeight="1">
      <c r="D941" s="10"/>
    </row>
    <row r="942" spans="4:4" ht="15.75" customHeight="1">
      <c r="D942" s="10"/>
    </row>
    <row r="943" spans="4:4" ht="15.75" customHeight="1">
      <c r="D943" s="10"/>
    </row>
    <row r="944" spans="4:4" ht="15.75" customHeight="1">
      <c r="D944" s="10"/>
    </row>
    <row r="945" spans="4:4" ht="15.75" customHeight="1">
      <c r="D945" s="10"/>
    </row>
    <row r="946" spans="4:4" ht="15.75" customHeight="1">
      <c r="D946" s="10"/>
    </row>
    <row r="947" spans="4:4" ht="15.75" customHeight="1">
      <c r="D947" s="10"/>
    </row>
    <row r="948" spans="4:4" ht="15.75" customHeight="1">
      <c r="D948" s="10"/>
    </row>
    <row r="949" spans="4:4" ht="15.75" customHeight="1">
      <c r="D949" s="10"/>
    </row>
    <row r="950" spans="4:4" ht="15.75" customHeight="1">
      <c r="D950" s="10"/>
    </row>
    <row r="951" spans="4:4" ht="15.75" customHeight="1">
      <c r="D951" s="10"/>
    </row>
    <row r="952" spans="4:4" ht="15.75" customHeight="1">
      <c r="D952" s="10"/>
    </row>
    <row r="953" spans="4:4" ht="15.75" customHeight="1">
      <c r="D953" s="10"/>
    </row>
    <row r="954" spans="4:4" ht="15.75" customHeight="1">
      <c r="D954" s="10"/>
    </row>
    <row r="955" spans="4:4" ht="15.75" customHeight="1">
      <c r="D955" s="10"/>
    </row>
    <row r="956" spans="4:4" ht="15.75" customHeight="1">
      <c r="D956" s="10"/>
    </row>
    <row r="957" spans="4:4" ht="15.75" customHeight="1">
      <c r="D957" s="10"/>
    </row>
    <row r="958" spans="4:4" ht="15.75" customHeight="1">
      <c r="D958" s="10"/>
    </row>
    <row r="959" spans="4:4" ht="15.75" customHeight="1">
      <c r="D959" s="10"/>
    </row>
    <row r="960" spans="4:4" ht="15.75" customHeight="1">
      <c r="D960" s="10"/>
    </row>
    <row r="961" spans="4:4" ht="15.75" customHeight="1">
      <c r="D961" s="10"/>
    </row>
    <row r="962" spans="4:4" ht="15.75" customHeight="1">
      <c r="D962" s="10"/>
    </row>
    <row r="963" spans="4:4" ht="15.75" customHeight="1">
      <c r="D963" s="10"/>
    </row>
    <row r="964" spans="4:4" ht="15.75" customHeight="1">
      <c r="D964" s="10"/>
    </row>
    <row r="965" spans="4:4" ht="15.75" customHeight="1">
      <c r="D965" s="10"/>
    </row>
    <row r="966" spans="4:4" ht="15.75" customHeight="1">
      <c r="D966" s="10"/>
    </row>
    <row r="967" spans="4:4" ht="15.75" customHeight="1">
      <c r="D967" s="10"/>
    </row>
    <row r="968" spans="4:4" ht="15.75" customHeight="1">
      <c r="D968" s="10"/>
    </row>
    <row r="969" spans="4:4" ht="15.75" customHeight="1">
      <c r="D969" s="10"/>
    </row>
    <row r="970" spans="4:4" ht="15.75" customHeight="1">
      <c r="D970" s="10"/>
    </row>
    <row r="971" spans="4:4" ht="15.75" customHeight="1">
      <c r="D971" s="10"/>
    </row>
    <row r="972" spans="4:4" ht="15.75" customHeight="1">
      <c r="D972" s="10"/>
    </row>
    <row r="973" spans="4:4" ht="15.75" customHeight="1">
      <c r="D973" s="10"/>
    </row>
    <row r="974" spans="4:4" ht="15.75" customHeight="1">
      <c r="D974" s="10"/>
    </row>
    <row r="975" spans="4:4" ht="15.75" customHeight="1">
      <c r="D975" s="10"/>
    </row>
    <row r="976" spans="4:4" ht="15.75" customHeight="1">
      <c r="D976" s="10"/>
    </row>
    <row r="977" spans="4:4" ht="15.75" customHeight="1">
      <c r="D977" s="10"/>
    </row>
    <row r="978" spans="4:4" ht="15.75" customHeight="1">
      <c r="D978" s="10"/>
    </row>
    <row r="979" spans="4:4" ht="15.75" customHeight="1">
      <c r="D979" s="10"/>
    </row>
    <row r="980" spans="4:4" ht="15.75" customHeight="1">
      <c r="D980" s="10"/>
    </row>
    <row r="981" spans="4:4" ht="15.75" customHeight="1">
      <c r="D981" s="10"/>
    </row>
    <row r="982" spans="4:4" ht="15.75" customHeight="1">
      <c r="D982" s="10"/>
    </row>
    <row r="983" spans="4:4" ht="15.75" customHeight="1">
      <c r="D983" s="10"/>
    </row>
    <row r="984" spans="4:4" ht="15.75" customHeight="1">
      <c r="D984" s="10"/>
    </row>
    <row r="985" spans="4:4" ht="15.75" customHeight="1">
      <c r="D985" s="10"/>
    </row>
    <row r="986" spans="4:4" ht="15.75" customHeight="1">
      <c r="D986" s="10"/>
    </row>
    <row r="987" spans="4:4" ht="15.75" customHeight="1">
      <c r="D987" s="10"/>
    </row>
    <row r="988" spans="4:4" ht="15.75" customHeight="1">
      <c r="D988" s="10"/>
    </row>
    <row r="989" spans="4:4" ht="15.75" customHeight="1">
      <c r="D989" s="10"/>
    </row>
    <row r="990" spans="4:4" ht="15.75" customHeight="1">
      <c r="D990" s="10"/>
    </row>
    <row r="991" spans="4:4" ht="15.75" customHeight="1">
      <c r="D991" s="10"/>
    </row>
    <row r="992" spans="4:4" ht="15.75" customHeight="1">
      <c r="D992" s="10"/>
    </row>
    <row r="993" spans="4:4" ht="15.75" customHeight="1">
      <c r="D993" s="10"/>
    </row>
    <row r="994" spans="4:4" ht="15.75" customHeight="1">
      <c r="D994" s="10"/>
    </row>
    <row r="995" spans="4:4" ht="15.75" customHeight="1">
      <c r="D995" s="10"/>
    </row>
    <row r="996" spans="4:4" ht="15.75" customHeight="1">
      <c r="D996" s="10"/>
    </row>
    <row r="997" spans="4:4" ht="15.75" customHeight="1">
      <c r="D997" s="10"/>
    </row>
    <row r="998" spans="4:4" ht="15.75" customHeight="1">
      <c r="D998" s="10"/>
    </row>
    <row r="999" spans="4:4" ht="15.75" customHeight="1">
      <c r="D999" s="10"/>
    </row>
    <row r="1000" spans="4:4" ht="15.75" customHeight="1">
      <c r="D1000" s="10"/>
    </row>
  </sheetData>
  <hyperlinks>
    <hyperlink ref="D2" r:id="rId1" xr:uid="{00000000-0004-0000-0C00-000000000000}"/>
    <hyperlink ref="D3" r:id="rId2" xr:uid="{00000000-0004-0000-0C00-000001000000}"/>
    <hyperlink ref="D4" r:id="rId3" xr:uid="{00000000-0004-0000-0C00-000002000000}"/>
    <hyperlink ref="D5" r:id="rId4" xr:uid="{00000000-0004-0000-0C00-000003000000}"/>
    <hyperlink ref="D7" r:id="rId5" xr:uid="{00000000-0004-0000-0C00-000004000000}"/>
    <hyperlink ref="D8" r:id="rId6" xr:uid="{00000000-0004-0000-0C00-000005000000}"/>
    <hyperlink ref="D12" r:id="rId7" xr:uid="{00000000-0004-0000-0C00-000006000000}"/>
    <hyperlink ref="D14" r:id="rId8" xr:uid="{00000000-0004-0000-0C00-000007000000}"/>
    <hyperlink ref="D15" r:id="rId9" xr:uid="{00000000-0004-0000-0C00-000008000000}"/>
    <hyperlink ref="D17" r:id="rId10" xr:uid="{00000000-0004-0000-0C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pane ySplit="1" topLeftCell="A2" activePane="bottomLeft" state="frozen"/>
      <selection pane="bottomLeft" sqref="A1:XFD1"/>
    </sheetView>
  </sheetViews>
  <sheetFormatPr defaultColWidth="14.44140625" defaultRowHeight="15" customHeight="1"/>
  <cols>
    <col min="1" max="1" width="9.109375" customWidth="1"/>
    <col min="2" max="2" width="35" customWidth="1"/>
    <col min="3" max="3" width="20" customWidth="1"/>
    <col min="4" max="4" width="43.33203125" customWidth="1"/>
    <col min="5" max="5" width="13.44140625" customWidth="1"/>
    <col min="6" max="25" width="9.109375" customWidth="1"/>
  </cols>
  <sheetData>
    <row r="1" spans="1:25" s="486" customFormat="1" ht="33.75" customHeight="1">
      <c r="A1" s="515" t="s">
        <v>4816</v>
      </c>
      <c r="B1" s="515" t="s">
        <v>1</v>
      </c>
      <c r="C1" s="499" t="s">
        <v>2</v>
      </c>
      <c r="D1" s="515" t="s">
        <v>3</v>
      </c>
      <c r="E1" s="515" t="s">
        <v>4</v>
      </c>
      <c r="F1" s="516"/>
      <c r="G1" s="516"/>
      <c r="H1" s="516"/>
      <c r="I1" s="504"/>
      <c r="J1" s="504"/>
      <c r="K1" s="516"/>
      <c r="L1" s="516"/>
      <c r="M1" s="516"/>
      <c r="N1" s="516"/>
      <c r="O1" s="516"/>
      <c r="P1" s="516"/>
      <c r="Q1" s="516"/>
      <c r="R1" s="516"/>
      <c r="S1" s="516"/>
      <c r="T1" s="516"/>
      <c r="U1" s="516"/>
      <c r="V1" s="504"/>
      <c r="W1" s="504"/>
      <c r="X1" s="504"/>
      <c r="Y1" s="504"/>
    </row>
    <row r="2" spans="1:25" ht="259.2">
      <c r="A2" s="15">
        <v>1</v>
      </c>
      <c r="B2" s="8" t="s">
        <v>4817</v>
      </c>
      <c r="C2" s="420">
        <v>40450</v>
      </c>
      <c r="D2" s="113" t="s">
        <v>4818</v>
      </c>
      <c r="E2" s="15" t="s">
        <v>21</v>
      </c>
      <c r="F2" s="4"/>
      <c r="G2" s="4"/>
      <c r="H2" s="4"/>
      <c r="I2" s="161"/>
      <c r="J2" s="161"/>
      <c r="K2" s="4"/>
      <c r="L2" s="4"/>
      <c r="M2" s="4"/>
      <c r="N2" s="4"/>
      <c r="O2" s="4"/>
      <c r="P2" s="4"/>
      <c r="Q2" s="4"/>
      <c r="R2" s="4"/>
      <c r="S2" s="4"/>
      <c r="T2" s="4"/>
      <c r="U2" s="4"/>
      <c r="V2" s="161"/>
      <c r="W2" s="161"/>
      <c r="X2" s="161"/>
      <c r="Y2" s="161"/>
    </row>
    <row r="3" spans="1:25" ht="316.8">
      <c r="A3" s="15">
        <v>2</v>
      </c>
      <c r="B3" s="8" t="s">
        <v>4819</v>
      </c>
      <c r="C3" s="420">
        <v>40304</v>
      </c>
      <c r="D3" s="113" t="s">
        <v>4820</v>
      </c>
      <c r="E3" s="15" t="s">
        <v>21</v>
      </c>
      <c r="F3" s="4"/>
      <c r="G3" s="4"/>
      <c r="H3" s="4"/>
      <c r="I3" s="161"/>
      <c r="J3" s="161"/>
      <c r="K3" s="4"/>
      <c r="L3" s="4"/>
      <c r="M3" s="4"/>
      <c r="N3" s="4"/>
      <c r="O3" s="4"/>
      <c r="P3" s="4"/>
      <c r="Q3" s="4"/>
      <c r="R3" s="4"/>
      <c r="S3" s="4"/>
      <c r="T3" s="4"/>
      <c r="U3" s="4"/>
      <c r="V3" s="161"/>
      <c r="W3" s="161"/>
      <c r="X3" s="161"/>
      <c r="Y3" s="161"/>
    </row>
    <row r="4" spans="1:25" ht="409.6">
      <c r="A4" s="15">
        <v>3</v>
      </c>
      <c r="B4" s="8" t="s">
        <v>4821</v>
      </c>
      <c r="C4" s="420">
        <v>40249</v>
      </c>
      <c r="D4" s="113" t="s">
        <v>4822</v>
      </c>
      <c r="E4" s="15" t="s">
        <v>21</v>
      </c>
      <c r="F4" s="4"/>
      <c r="G4" s="4"/>
      <c r="H4" s="4"/>
      <c r="I4" s="161"/>
      <c r="J4" s="161"/>
      <c r="K4" s="4"/>
      <c r="L4" s="4"/>
      <c r="M4" s="4"/>
      <c r="N4" s="4"/>
      <c r="O4" s="4"/>
      <c r="P4" s="4"/>
      <c r="Q4" s="161"/>
      <c r="R4" s="4"/>
      <c r="S4" s="4"/>
      <c r="T4" s="4"/>
      <c r="U4" s="4"/>
      <c r="V4" s="161"/>
      <c r="W4" s="161"/>
      <c r="X4" s="161"/>
      <c r="Y4" s="161"/>
    </row>
    <row r="5" spans="1:25" ht="374.4">
      <c r="A5" s="15">
        <v>4</v>
      </c>
      <c r="B5" s="8" t="s">
        <v>4823</v>
      </c>
      <c r="C5" s="420">
        <v>40420</v>
      </c>
      <c r="D5" s="113" t="s">
        <v>4824</v>
      </c>
      <c r="E5" s="15" t="s">
        <v>21</v>
      </c>
      <c r="F5" s="4"/>
      <c r="G5" s="4"/>
      <c r="H5" s="4"/>
      <c r="I5" s="161"/>
      <c r="J5" s="161"/>
      <c r="K5" s="4"/>
      <c r="L5" s="4"/>
      <c r="M5" s="4"/>
      <c r="N5" s="4"/>
      <c r="O5" s="4"/>
      <c r="P5" s="4"/>
      <c r="Q5" s="4"/>
      <c r="R5" s="4"/>
      <c r="S5" s="4"/>
      <c r="T5" s="4"/>
      <c r="U5" s="4"/>
      <c r="V5" s="161"/>
      <c r="W5" s="161"/>
      <c r="X5" s="161"/>
      <c r="Y5" s="161"/>
    </row>
    <row r="6" spans="1:25" ht="33.75" customHeight="1">
      <c r="A6" s="15">
        <v>5</v>
      </c>
      <c r="B6" s="8" t="s">
        <v>4825</v>
      </c>
      <c r="C6" s="420">
        <v>40589</v>
      </c>
      <c r="D6" s="113" t="s">
        <v>4826</v>
      </c>
      <c r="E6" s="15" t="s">
        <v>21</v>
      </c>
      <c r="F6" s="4"/>
      <c r="G6" s="4"/>
      <c r="H6" s="4"/>
      <c r="I6" s="161"/>
      <c r="J6" s="161"/>
      <c r="K6" s="4"/>
      <c r="L6" s="4"/>
      <c r="M6" s="4"/>
      <c r="N6" s="4"/>
      <c r="O6" s="4"/>
      <c r="P6" s="4"/>
      <c r="Q6" s="4"/>
      <c r="R6" s="4"/>
      <c r="S6" s="4"/>
      <c r="T6" s="4"/>
      <c r="U6" s="4"/>
      <c r="V6" s="161"/>
      <c r="W6" s="161"/>
      <c r="X6" s="161"/>
      <c r="Y6" s="161"/>
    </row>
    <row r="7" spans="1:25" ht="33.75" customHeight="1">
      <c r="A7" s="15">
        <v>6</v>
      </c>
      <c r="B7" s="8" t="s">
        <v>4827</v>
      </c>
      <c r="C7" s="420">
        <v>40589</v>
      </c>
      <c r="D7" s="113" t="s">
        <v>4828</v>
      </c>
      <c r="E7" s="15" t="s">
        <v>21</v>
      </c>
      <c r="F7" s="4"/>
      <c r="G7" s="4"/>
      <c r="H7" s="4"/>
      <c r="I7" s="161"/>
      <c r="J7" s="161"/>
      <c r="K7" s="4"/>
      <c r="L7" s="4"/>
      <c r="M7" s="4"/>
      <c r="N7" s="4"/>
      <c r="O7" s="4"/>
      <c r="P7" s="4"/>
      <c r="Q7" s="4"/>
      <c r="R7" s="4"/>
      <c r="S7" s="4"/>
      <c r="T7" s="4"/>
      <c r="U7" s="4"/>
      <c r="V7" s="161"/>
      <c r="W7" s="161"/>
      <c r="X7" s="161"/>
      <c r="Y7" s="161"/>
    </row>
    <row r="8" spans="1:25" ht="244.8">
      <c r="A8" s="15">
        <v>7</v>
      </c>
      <c r="B8" s="8" t="s">
        <v>4829</v>
      </c>
      <c r="C8" s="420">
        <v>40752</v>
      </c>
      <c r="D8" s="113" t="s">
        <v>4830</v>
      </c>
      <c r="E8" s="15" t="s">
        <v>21</v>
      </c>
      <c r="F8" s="4"/>
      <c r="G8" s="4"/>
      <c r="H8" s="4"/>
      <c r="I8" s="161"/>
      <c r="J8" s="161"/>
      <c r="K8" s="4"/>
      <c r="L8" s="4"/>
      <c r="M8" s="4"/>
      <c r="N8" s="4"/>
      <c r="O8" s="4"/>
      <c r="P8" s="4"/>
      <c r="Q8" s="4"/>
      <c r="R8" s="4"/>
      <c r="S8" s="4"/>
      <c r="T8" s="4"/>
      <c r="U8" s="4"/>
      <c r="V8" s="161"/>
      <c r="W8" s="161"/>
      <c r="X8" s="161"/>
      <c r="Y8" s="161"/>
    </row>
    <row r="9" spans="1:25" ht="33.75" customHeight="1">
      <c r="A9" s="15">
        <v>8</v>
      </c>
      <c r="B9" s="8" t="s">
        <v>4831</v>
      </c>
      <c r="C9" s="420">
        <v>40830</v>
      </c>
      <c r="D9" s="113" t="s">
        <v>4832</v>
      </c>
      <c r="E9" s="15" t="s">
        <v>21</v>
      </c>
      <c r="F9" s="4"/>
      <c r="G9" s="4"/>
      <c r="H9" s="4"/>
      <c r="I9" s="161"/>
      <c r="J9" s="161"/>
      <c r="K9" s="4"/>
      <c r="L9" s="4"/>
      <c r="M9" s="4"/>
      <c r="N9" s="4"/>
      <c r="O9" s="4"/>
      <c r="P9" s="4"/>
      <c r="Q9" s="4"/>
      <c r="R9" s="4"/>
      <c r="S9" s="4"/>
      <c r="T9" s="4"/>
      <c r="U9" s="4"/>
      <c r="V9" s="161"/>
      <c r="W9" s="161"/>
      <c r="X9" s="161"/>
      <c r="Y9" s="161"/>
    </row>
    <row r="10" spans="1:25" ht="33.75" customHeight="1">
      <c r="A10" s="15">
        <v>9</v>
      </c>
      <c r="B10" s="8" t="s">
        <v>4833</v>
      </c>
      <c r="C10" s="420">
        <v>41064</v>
      </c>
      <c r="D10" s="113" t="s">
        <v>4834</v>
      </c>
      <c r="E10" s="15" t="s">
        <v>21</v>
      </c>
      <c r="F10" s="4"/>
      <c r="G10" s="4"/>
      <c r="H10" s="4"/>
      <c r="I10" s="161"/>
      <c r="J10" s="161"/>
      <c r="K10" s="4"/>
      <c r="L10" s="4"/>
      <c r="M10" s="4"/>
      <c r="N10" s="4"/>
      <c r="O10" s="4"/>
      <c r="P10" s="4"/>
      <c r="Q10" s="4"/>
      <c r="R10" s="4"/>
      <c r="S10" s="4"/>
      <c r="T10" s="4"/>
      <c r="U10" s="4"/>
      <c r="V10" s="161"/>
      <c r="W10" s="161"/>
      <c r="X10" s="161"/>
      <c r="Y10" s="161"/>
    </row>
    <row r="11" spans="1:25" ht="33.75" customHeight="1">
      <c r="A11" s="15">
        <v>10</v>
      </c>
      <c r="B11" s="8" t="s">
        <v>4835</v>
      </c>
      <c r="C11" s="420">
        <v>41473</v>
      </c>
      <c r="D11" s="113" t="s">
        <v>4836</v>
      </c>
      <c r="E11" s="15" t="s">
        <v>21</v>
      </c>
      <c r="F11" s="4"/>
      <c r="G11" s="4"/>
      <c r="H11" s="161"/>
      <c r="I11" s="161"/>
      <c r="J11" s="161"/>
      <c r="K11" s="4"/>
      <c r="L11" s="4"/>
      <c r="M11" s="4"/>
      <c r="N11" s="4"/>
      <c r="O11" s="4"/>
      <c r="P11" s="4"/>
      <c r="Q11" s="4"/>
      <c r="R11" s="4"/>
      <c r="S11" s="4"/>
      <c r="T11" s="4"/>
      <c r="U11" s="4"/>
      <c r="V11" s="161"/>
      <c r="W11" s="161"/>
      <c r="X11" s="161"/>
      <c r="Y11" s="161"/>
    </row>
    <row r="12" spans="1:25" ht="33.75" customHeight="1">
      <c r="A12" s="15">
        <v>11</v>
      </c>
      <c r="B12" s="8" t="s">
        <v>4837</v>
      </c>
      <c r="C12" s="420">
        <v>41599</v>
      </c>
      <c r="D12" s="113" t="s">
        <v>4838</v>
      </c>
      <c r="E12" s="15" t="s">
        <v>21</v>
      </c>
      <c r="F12" s="4"/>
      <c r="G12" s="4"/>
      <c r="H12" s="4"/>
      <c r="I12" s="4"/>
      <c r="J12" s="4"/>
      <c r="K12" s="4"/>
      <c r="L12" s="4"/>
      <c r="M12" s="4"/>
      <c r="N12" s="4"/>
      <c r="O12" s="4"/>
      <c r="P12" s="4"/>
      <c r="Q12" s="4"/>
      <c r="R12" s="4"/>
      <c r="S12" s="4"/>
      <c r="T12" s="4"/>
      <c r="U12" s="4"/>
      <c r="V12" s="4"/>
      <c r="W12" s="4"/>
      <c r="X12" s="4"/>
      <c r="Y12" s="4"/>
    </row>
    <row r="13" spans="1:25" ht="33.75" customHeight="1">
      <c r="A13" s="4"/>
      <c r="B13" s="5"/>
      <c r="C13" s="4"/>
      <c r="D13" s="4"/>
      <c r="E13" s="4"/>
      <c r="F13" s="4"/>
      <c r="G13" s="4"/>
      <c r="H13" s="4"/>
      <c r="I13" s="4"/>
      <c r="J13" s="4"/>
      <c r="K13" s="4"/>
      <c r="L13" s="4"/>
      <c r="M13" s="4"/>
      <c r="N13" s="4"/>
      <c r="O13" s="4"/>
      <c r="P13" s="4"/>
      <c r="Q13" s="4"/>
      <c r="R13" s="4"/>
      <c r="S13" s="4"/>
      <c r="T13" s="4"/>
      <c r="U13" s="4"/>
      <c r="V13" s="4"/>
      <c r="W13" s="4"/>
      <c r="X13" s="4"/>
      <c r="Y13" s="4"/>
    </row>
    <row r="14" spans="1:25" ht="33.75" customHeight="1">
      <c r="A14" s="4"/>
      <c r="B14" s="5"/>
      <c r="C14" s="4"/>
      <c r="D14" s="4"/>
      <c r="E14" s="4"/>
      <c r="F14" s="4"/>
      <c r="G14" s="4"/>
      <c r="H14" s="4"/>
      <c r="I14" s="4"/>
      <c r="J14" s="4"/>
      <c r="K14" s="4"/>
      <c r="L14" s="4"/>
      <c r="M14" s="4"/>
      <c r="N14" s="4"/>
      <c r="O14" s="4"/>
      <c r="P14" s="4"/>
      <c r="Q14" s="4"/>
      <c r="R14" s="4"/>
      <c r="S14" s="4"/>
      <c r="T14" s="4"/>
      <c r="U14" s="4"/>
      <c r="V14" s="4"/>
      <c r="W14" s="4"/>
      <c r="X14" s="4"/>
      <c r="Y14" s="4"/>
    </row>
    <row r="15" spans="1:25" ht="33.75" customHeight="1">
      <c r="A15" s="4"/>
      <c r="B15" s="5"/>
      <c r="C15" s="4"/>
      <c r="D15" s="4"/>
      <c r="E15" s="4"/>
      <c r="F15" s="4"/>
      <c r="G15" s="4"/>
      <c r="H15" s="4"/>
      <c r="I15" s="4"/>
      <c r="J15" s="4"/>
      <c r="K15" s="4"/>
      <c r="L15" s="4"/>
      <c r="M15" s="4"/>
      <c r="N15" s="4"/>
      <c r="O15" s="4"/>
      <c r="P15" s="4"/>
      <c r="Q15" s="4"/>
      <c r="R15" s="4"/>
      <c r="S15" s="4"/>
      <c r="T15" s="4"/>
      <c r="U15" s="4"/>
      <c r="V15" s="4"/>
      <c r="W15" s="4"/>
      <c r="X15" s="4"/>
      <c r="Y15" s="4"/>
    </row>
    <row r="16" spans="1:25" ht="33.75" customHeight="1">
      <c r="A16" s="4"/>
      <c r="B16" s="5"/>
      <c r="C16" s="4"/>
      <c r="D16" s="4"/>
      <c r="E16" s="4"/>
      <c r="F16" s="4"/>
      <c r="G16" s="4"/>
      <c r="H16" s="4"/>
      <c r="I16" s="4"/>
      <c r="J16" s="4"/>
      <c r="K16" s="4"/>
      <c r="L16" s="4"/>
      <c r="M16" s="4"/>
      <c r="N16" s="4"/>
      <c r="O16" s="4"/>
      <c r="P16" s="4"/>
      <c r="Q16" s="4"/>
      <c r="R16" s="4"/>
      <c r="S16" s="4"/>
      <c r="T16" s="4"/>
      <c r="U16" s="4"/>
      <c r="V16" s="4"/>
      <c r="W16" s="4"/>
      <c r="X16" s="4"/>
      <c r="Y16" s="4"/>
    </row>
    <row r="17" spans="1:25" ht="33.75" customHeight="1">
      <c r="A17" s="4"/>
      <c r="B17" s="5"/>
      <c r="C17" s="4"/>
      <c r="D17" s="4"/>
      <c r="E17" s="4"/>
      <c r="F17" s="4"/>
      <c r="G17" s="4"/>
      <c r="H17" s="4"/>
      <c r="I17" s="4"/>
      <c r="J17" s="4"/>
      <c r="K17" s="4"/>
      <c r="L17" s="4"/>
      <c r="M17" s="4"/>
      <c r="N17" s="4"/>
      <c r="O17" s="4"/>
      <c r="P17" s="4"/>
      <c r="Q17" s="4"/>
      <c r="R17" s="4"/>
      <c r="S17" s="4"/>
      <c r="T17" s="4"/>
      <c r="U17" s="4"/>
      <c r="V17" s="4"/>
      <c r="W17" s="4"/>
      <c r="X17" s="4"/>
      <c r="Y17" s="4"/>
    </row>
    <row r="18" spans="1:25" ht="33.75" customHeight="1">
      <c r="A18" s="4"/>
      <c r="B18" s="5"/>
      <c r="C18" s="4"/>
      <c r="D18" s="4"/>
      <c r="E18" s="4"/>
      <c r="F18" s="4"/>
      <c r="G18" s="4"/>
      <c r="H18" s="4"/>
      <c r="I18" s="4"/>
      <c r="J18" s="4"/>
      <c r="K18" s="4"/>
      <c r="L18" s="4"/>
      <c r="M18" s="4"/>
      <c r="N18" s="4"/>
      <c r="O18" s="4"/>
      <c r="P18" s="4"/>
      <c r="Q18" s="4"/>
      <c r="R18" s="4"/>
      <c r="S18" s="4"/>
      <c r="T18" s="4"/>
      <c r="U18" s="4"/>
      <c r="V18" s="4"/>
      <c r="W18" s="4"/>
      <c r="X18" s="4"/>
      <c r="Y18" s="4"/>
    </row>
    <row r="19" spans="1:25" ht="33.75" customHeight="1">
      <c r="A19" s="4"/>
      <c r="B19" s="5"/>
      <c r="C19" s="4"/>
      <c r="D19" s="4"/>
      <c r="E19" s="4"/>
      <c r="F19" s="4"/>
      <c r="G19" s="4"/>
      <c r="H19" s="4"/>
      <c r="I19" s="4"/>
      <c r="J19" s="4"/>
      <c r="K19" s="4"/>
      <c r="L19" s="4"/>
      <c r="M19" s="4"/>
      <c r="N19" s="4"/>
      <c r="O19" s="4"/>
      <c r="P19" s="4"/>
      <c r="Q19" s="4"/>
      <c r="R19" s="4"/>
      <c r="S19" s="4"/>
      <c r="T19" s="4"/>
      <c r="U19" s="4"/>
      <c r="V19" s="4"/>
      <c r="W19" s="4"/>
      <c r="X19" s="4"/>
      <c r="Y19" s="4"/>
    </row>
    <row r="20" spans="1:25" ht="33.75" customHeight="1">
      <c r="A20" s="4"/>
      <c r="B20" s="5"/>
      <c r="C20" s="4"/>
      <c r="D20" s="4"/>
      <c r="E20" s="4"/>
      <c r="F20" s="4"/>
      <c r="G20" s="4"/>
      <c r="H20" s="4"/>
      <c r="I20" s="4"/>
      <c r="J20" s="4"/>
      <c r="K20" s="4"/>
      <c r="L20" s="4"/>
      <c r="M20" s="4"/>
      <c r="N20" s="4"/>
      <c r="O20" s="4"/>
      <c r="P20" s="4"/>
      <c r="Q20" s="4"/>
      <c r="R20" s="4"/>
      <c r="S20" s="4"/>
      <c r="T20" s="4"/>
      <c r="U20" s="4"/>
      <c r="V20" s="4"/>
      <c r="W20" s="4"/>
      <c r="X20" s="4"/>
      <c r="Y20" s="4"/>
    </row>
    <row r="21" spans="1:25" ht="33.75" customHeight="1">
      <c r="A21" s="4"/>
      <c r="B21" s="5"/>
      <c r="C21" s="4"/>
      <c r="D21" s="4"/>
      <c r="E21" s="4"/>
      <c r="F21" s="4"/>
      <c r="G21" s="4"/>
      <c r="H21" s="4"/>
      <c r="I21" s="4"/>
      <c r="J21" s="4"/>
      <c r="K21" s="4"/>
      <c r="L21" s="4"/>
      <c r="M21" s="4"/>
      <c r="N21" s="4"/>
      <c r="O21" s="4"/>
      <c r="P21" s="4"/>
      <c r="Q21" s="4"/>
      <c r="R21" s="4"/>
      <c r="S21" s="4"/>
      <c r="T21" s="4"/>
      <c r="U21" s="4"/>
      <c r="V21" s="4"/>
      <c r="W21" s="4"/>
      <c r="X21" s="4"/>
      <c r="Y21" s="4"/>
    </row>
    <row r="22" spans="1:25" ht="33.75" customHeight="1">
      <c r="A22" s="4"/>
      <c r="B22" s="5"/>
      <c r="C22" s="4"/>
      <c r="D22" s="4"/>
      <c r="E22" s="4"/>
      <c r="F22" s="4"/>
      <c r="G22" s="4"/>
      <c r="H22" s="4"/>
      <c r="I22" s="4"/>
      <c r="J22" s="4"/>
      <c r="K22" s="4"/>
      <c r="L22" s="4"/>
      <c r="M22" s="4"/>
      <c r="N22" s="4"/>
      <c r="O22" s="4"/>
      <c r="P22" s="4"/>
      <c r="Q22" s="4"/>
      <c r="R22" s="4"/>
      <c r="S22" s="4"/>
      <c r="T22" s="4"/>
      <c r="U22" s="4"/>
      <c r="V22" s="4"/>
      <c r="W22" s="4"/>
      <c r="X22" s="4"/>
      <c r="Y22" s="4"/>
    </row>
    <row r="23" spans="1:25" ht="33.75" customHeight="1">
      <c r="A23" s="4"/>
      <c r="B23" s="5"/>
      <c r="C23" s="4"/>
      <c r="D23" s="4"/>
      <c r="E23" s="4"/>
      <c r="F23" s="4"/>
      <c r="G23" s="4"/>
      <c r="H23" s="4"/>
      <c r="I23" s="4"/>
      <c r="J23" s="4"/>
      <c r="K23" s="4"/>
      <c r="L23" s="4"/>
      <c r="M23" s="4"/>
      <c r="N23" s="4"/>
      <c r="O23" s="4"/>
      <c r="P23" s="4"/>
      <c r="Q23" s="4"/>
      <c r="R23" s="4"/>
      <c r="S23" s="4"/>
      <c r="T23" s="4"/>
      <c r="U23" s="4"/>
      <c r="V23" s="4"/>
      <c r="W23" s="4"/>
      <c r="X23" s="4"/>
      <c r="Y23" s="4"/>
    </row>
    <row r="24" spans="1:25" ht="33.75" customHeight="1">
      <c r="A24" s="4"/>
      <c r="B24" s="5"/>
      <c r="C24" s="4"/>
      <c r="D24" s="4"/>
      <c r="E24" s="4"/>
      <c r="F24" s="4"/>
      <c r="G24" s="4"/>
      <c r="H24" s="4"/>
      <c r="I24" s="4"/>
      <c r="J24" s="4"/>
      <c r="K24" s="4"/>
      <c r="L24" s="4"/>
      <c r="M24" s="4"/>
      <c r="N24" s="4"/>
      <c r="O24" s="4"/>
      <c r="P24" s="4"/>
      <c r="Q24" s="4"/>
      <c r="R24" s="4"/>
      <c r="S24" s="4"/>
      <c r="T24" s="4"/>
      <c r="U24" s="4"/>
      <c r="V24" s="4"/>
      <c r="W24" s="4"/>
      <c r="X24" s="4"/>
      <c r="Y24" s="4"/>
    </row>
    <row r="25" spans="1:25" ht="33.75" customHeight="1">
      <c r="A25" s="4"/>
      <c r="B25" s="5"/>
      <c r="C25" s="4"/>
      <c r="D25" s="4"/>
      <c r="E25" s="4"/>
      <c r="F25" s="4"/>
      <c r="G25" s="4"/>
      <c r="H25" s="4"/>
      <c r="I25" s="4"/>
      <c r="J25" s="4"/>
      <c r="K25" s="4"/>
      <c r="L25" s="4"/>
      <c r="M25" s="4"/>
      <c r="N25" s="4"/>
      <c r="O25" s="4"/>
      <c r="P25" s="4"/>
      <c r="Q25" s="4"/>
      <c r="R25" s="4"/>
      <c r="S25" s="4"/>
      <c r="T25" s="4"/>
      <c r="U25" s="4"/>
      <c r="V25" s="4"/>
      <c r="W25" s="4"/>
      <c r="X25" s="4"/>
      <c r="Y25" s="4"/>
    </row>
    <row r="26" spans="1:25" ht="33.75" customHeight="1">
      <c r="A26" s="4"/>
      <c r="B26" s="5"/>
      <c r="C26" s="4"/>
      <c r="D26" s="4"/>
      <c r="E26" s="4"/>
      <c r="F26" s="4"/>
      <c r="G26" s="4"/>
      <c r="H26" s="4"/>
      <c r="I26" s="4"/>
      <c r="J26" s="4"/>
      <c r="K26" s="4"/>
      <c r="L26" s="4"/>
      <c r="M26" s="4"/>
      <c r="N26" s="4"/>
      <c r="O26" s="4"/>
      <c r="P26" s="4"/>
      <c r="Q26" s="4"/>
      <c r="R26" s="4"/>
      <c r="S26" s="4"/>
      <c r="T26" s="4"/>
      <c r="U26" s="4"/>
      <c r="V26" s="4"/>
      <c r="W26" s="4"/>
      <c r="X26" s="4"/>
      <c r="Y26" s="4"/>
    </row>
    <row r="27" spans="1:25" ht="33.75" customHeight="1">
      <c r="A27" s="4"/>
      <c r="B27" s="5"/>
      <c r="C27" s="4"/>
      <c r="D27" s="4"/>
      <c r="E27" s="4"/>
      <c r="F27" s="4"/>
      <c r="G27" s="4"/>
      <c r="H27" s="4"/>
      <c r="I27" s="4"/>
      <c r="J27" s="4"/>
      <c r="K27" s="4"/>
      <c r="L27" s="4"/>
      <c r="M27" s="4"/>
      <c r="N27" s="4"/>
      <c r="O27" s="4"/>
      <c r="P27" s="4"/>
      <c r="Q27" s="4"/>
      <c r="R27" s="4"/>
      <c r="S27" s="4"/>
      <c r="T27" s="4"/>
      <c r="U27" s="4"/>
      <c r="V27" s="4"/>
      <c r="W27" s="4"/>
      <c r="X27" s="4"/>
      <c r="Y27" s="4"/>
    </row>
    <row r="28" spans="1:25" ht="33.75" customHeight="1">
      <c r="A28" s="4"/>
      <c r="B28" s="5"/>
      <c r="C28" s="4"/>
      <c r="D28" s="4"/>
      <c r="E28" s="4"/>
      <c r="F28" s="4"/>
      <c r="G28" s="4"/>
      <c r="H28" s="4"/>
      <c r="I28" s="4"/>
      <c r="J28" s="4"/>
      <c r="K28" s="4"/>
      <c r="L28" s="4"/>
      <c r="M28" s="4"/>
      <c r="N28" s="4"/>
      <c r="O28" s="4"/>
      <c r="P28" s="4"/>
      <c r="Q28" s="4"/>
      <c r="R28" s="4"/>
      <c r="S28" s="4"/>
      <c r="T28" s="4"/>
      <c r="U28" s="4"/>
      <c r="V28" s="4"/>
      <c r="W28" s="4"/>
      <c r="X28" s="4"/>
      <c r="Y28" s="4"/>
    </row>
    <row r="29" spans="1:25" ht="33.75" customHeight="1">
      <c r="A29" s="4"/>
      <c r="B29" s="5"/>
      <c r="C29" s="4"/>
      <c r="D29" s="4"/>
      <c r="E29" s="4"/>
      <c r="F29" s="4"/>
      <c r="G29" s="4"/>
      <c r="H29" s="4"/>
      <c r="I29" s="4"/>
      <c r="J29" s="4"/>
      <c r="K29" s="4"/>
      <c r="L29" s="4"/>
      <c r="M29" s="4"/>
      <c r="N29" s="4"/>
      <c r="O29" s="4"/>
      <c r="P29" s="4"/>
      <c r="Q29" s="4"/>
      <c r="R29" s="4"/>
      <c r="S29" s="4"/>
      <c r="T29" s="4"/>
      <c r="U29" s="4"/>
      <c r="V29" s="4"/>
      <c r="W29" s="4"/>
      <c r="X29" s="4"/>
      <c r="Y29" s="4"/>
    </row>
    <row r="30" spans="1:25" ht="33.75" customHeight="1">
      <c r="A30" s="4"/>
      <c r="B30" s="5"/>
      <c r="C30" s="4"/>
      <c r="D30" s="4"/>
      <c r="E30" s="4"/>
      <c r="F30" s="4"/>
      <c r="G30" s="4"/>
      <c r="H30" s="4"/>
      <c r="I30" s="4"/>
      <c r="J30" s="4"/>
      <c r="K30" s="4"/>
      <c r="L30" s="4"/>
      <c r="M30" s="4"/>
      <c r="N30" s="4"/>
      <c r="O30" s="4"/>
      <c r="P30" s="4"/>
      <c r="Q30" s="4"/>
      <c r="R30" s="4"/>
      <c r="S30" s="4"/>
      <c r="T30" s="4"/>
      <c r="U30" s="4"/>
      <c r="V30" s="4"/>
      <c r="W30" s="4"/>
      <c r="X30" s="4"/>
      <c r="Y30" s="4"/>
    </row>
    <row r="31" spans="1:25" ht="33.75" customHeight="1">
      <c r="A31" s="4"/>
      <c r="B31" s="5"/>
      <c r="C31" s="4"/>
      <c r="D31" s="4"/>
      <c r="E31" s="4"/>
      <c r="F31" s="4"/>
      <c r="G31" s="4"/>
      <c r="H31" s="4"/>
      <c r="I31" s="4"/>
      <c r="J31" s="4"/>
      <c r="K31" s="4"/>
      <c r="L31" s="4"/>
      <c r="M31" s="4"/>
      <c r="N31" s="4"/>
      <c r="O31" s="4"/>
      <c r="P31" s="4"/>
      <c r="Q31" s="4"/>
      <c r="R31" s="4"/>
      <c r="S31" s="4"/>
      <c r="T31" s="4"/>
      <c r="U31" s="4"/>
      <c r="V31" s="4"/>
      <c r="W31" s="4"/>
      <c r="X31" s="4"/>
      <c r="Y31" s="4"/>
    </row>
    <row r="32" spans="1:25" ht="33.75" customHeight="1">
      <c r="A32" s="4"/>
      <c r="B32" s="5"/>
      <c r="C32" s="4"/>
      <c r="D32" s="4"/>
      <c r="E32" s="4"/>
      <c r="F32" s="4"/>
      <c r="G32" s="4"/>
      <c r="H32" s="4"/>
      <c r="I32" s="4"/>
      <c r="J32" s="4"/>
      <c r="K32" s="4"/>
      <c r="L32" s="4"/>
      <c r="M32" s="4"/>
      <c r="N32" s="4"/>
      <c r="O32" s="4"/>
      <c r="P32" s="4"/>
      <c r="Q32" s="4"/>
      <c r="R32" s="4"/>
      <c r="S32" s="4"/>
      <c r="T32" s="4"/>
      <c r="U32" s="4"/>
      <c r="V32" s="4"/>
      <c r="W32" s="4"/>
      <c r="X32" s="4"/>
      <c r="Y32" s="4"/>
    </row>
    <row r="33" spans="1:25" ht="33.75" customHeight="1">
      <c r="A33" s="4"/>
      <c r="B33" s="5"/>
      <c r="C33" s="4"/>
      <c r="D33" s="4"/>
      <c r="E33" s="4"/>
      <c r="F33" s="4"/>
      <c r="G33" s="4"/>
      <c r="H33" s="4"/>
      <c r="I33" s="4"/>
      <c r="J33" s="4"/>
      <c r="K33" s="4"/>
      <c r="L33" s="4"/>
      <c r="M33" s="4"/>
      <c r="N33" s="4"/>
      <c r="O33" s="4"/>
      <c r="P33" s="4"/>
      <c r="Q33" s="4"/>
      <c r="R33" s="4"/>
      <c r="S33" s="4"/>
      <c r="T33" s="4"/>
      <c r="U33" s="4"/>
      <c r="V33" s="4"/>
      <c r="W33" s="4"/>
      <c r="X33" s="4"/>
      <c r="Y33" s="4"/>
    </row>
    <row r="34" spans="1:25" ht="33.75" customHeight="1">
      <c r="A34" s="4"/>
      <c r="B34" s="5"/>
      <c r="C34" s="4"/>
      <c r="D34" s="4"/>
      <c r="E34" s="4"/>
      <c r="F34" s="4"/>
      <c r="G34" s="4"/>
      <c r="H34" s="4"/>
      <c r="I34" s="4"/>
      <c r="J34" s="4"/>
      <c r="K34" s="4"/>
      <c r="L34" s="4"/>
      <c r="M34" s="4"/>
      <c r="N34" s="4"/>
      <c r="O34" s="4"/>
      <c r="P34" s="4"/>
      <c r="Q34" s="4"/>
      <c r="R34" s="4"/>
      <c r="S34" s="4"/>
      <c r="T34" s="4"/>
      <c r="U34" s="4"/>
      <c r="V34" s="4"/>
      <c r="W34" s="4"/>
      <c r="X34" s="4"/>
      <c r="Y34" s="4"/>
    </row>
    <row r="35" spans="1:25" ht="33.75" customHeight="1">
      <c r="A35" s="4"/>
      <c r="B35" s="5"/>
      <c r="C35" s="4"/>
      <c r="D35" s="4"/>
      <c r="E35" s="4"/>
      <c r="F35" s="4"/>
      <c r="G35" s="4"/>
      <c r="H35" s="4"/>
      <c r="I35" s="4"/>
      <c r="J35" s="4"/>
      <c r="K35" s="4"/>
      <c r="L35" s="4"/>
      <c r="M35" s="4"/>
      <c r="N35" s="4"/>
      <c r="O35" s="4"/>
      <c r="P35" s="4"/>
      <c r="Q35" s="4"/>
      <c r="R35" s="4"/>
      <c r="S35" s="4"/>
      <c r="T35" s="4"/>
      <c r="U35" s="4"/>
      <c r="V35" s="4"/>
      <c r="W35" s="4"/>
      <c r="X35" s="4"/>
      <c r="Y35" s="4"/>
    </row>
    <row r="36" spans="1:25" ht="33.75" customHeight="1">
      <c r="A36" s="4"/>
      <c r="B36" s="5"/>
      <c r="C36" s="4"/>
      <c r="D36" s="4"/>
      <c r="E36" s="4"/>
      <c r="F36" s="4"/>
      <c r="G36" s="4"/>
      <c r="H36" s="4"/>
      <c r="I36" s="4"/>
      <c r="J36" s="4"/>
      <c r="K36" s="4"/>
      <c r="L36" s="4"/>
      <c r="M36" s="4"/>
      <c r="N36" s="4"/>
      <c r="O36" s="4"/>
      <c r="P36" s="4"/>
      <c r="Q36" s="4"/>
      <c r="R36" s="4"/>
      <c r="S36" s="4"/>
      <c r="T36" s="4"/>
      <c r="U36" s="4"/>
      <c r="V36" s="4"/>
      <c r="W36" s="4"/>
      <c r="X36" s="4"/>
      <c r="Y36" s="4"/>
    </row>
    <row r="37" spans="1:25" ht="33.75" customHeight="1">
      <c r="A37" s="4"/>
      <c r="B37" s="5"/>
      <c r="C37" s="4"/>
      <c r="D37" s="4"/>
      <c r="E37" s="4"/>
      <c r="F37" s="4"/>
      <c r="G37" s="4"/>
      <c r="H37" s="4"/>
      <c r="I37" s="4"/>
      <c r="J37" s="4"/>
      <c r="K37" s="4"/>
      <c r="L37" s="4"/>
      <c r="M37" s="4"/>
      <c r="N37" s="4"/>
      <c r="O37" s="4"/>
      <c r="P37" s="4"/>
      <c r="Q37" s="4"/>
      <c r="R37" s="4"/>
      <c r="S37" s="4"/>
      <c r="T37" s="4"/>
      <c r="U37" s="4"/>
      <c r="V37" s="4"/>
      <c r="W37" s="4"/>
      <c r="X37" s="4"/>
      <c r="Y37" s="4"/>
    </row>
    <row r="38" spans="1:25" ht="33.75" customHeight="1">
      <c r="A38" s="4"/>
      <c r="B38" s="5"/>
      <c r="C38" s="4"/>
      <c r="D38" s="4"/>
      <c r="E38" s="4"/>
      <c r="F38" s="4"/>
      <c r="G38" s="4"/>
      <c r="H38" s="4"/>
      <c r="I38" s="4"/>
      <c r="J38" s="4"/>
      <c r="K38" s="4"/>
      <c r="L38" s="4"/>
      <c r="M38" s="4"/>
      <c r="N38" s="4"/>
      <c r="O38" s="4"/>
      <c r="P38" s="4"/>
      <c r="Q38" s="4"/>
      <c r="R38" s="4"/>
      <c r="S38" s="4"/>
      <c r="T38" s="4"/>
      <c r="U38" s="4"/>
      <c r="V38" s="4"/>
      <c r="W38" s="4"/>
      <c r="X38" s="4"/>
      <c r="Y38" s="4"/>
    </row>
    <row r="39" spans="1:25" ht="33.75" customHeight="1">
      <c r="A39" s="4"/>
      <c r="B39" s="5"/>
      <c r="C39" s="4"/>
      <c r="D39" s="4"/>
      <c r="E39" s="4"/>
      <c r="F39" s="4"/>
      <c r="G39" s="4"/>
      <c r="H39" s="4"/>
      <c r="I39" s="4"/>
      <c r="J39" s="4"/>
      <c r="K39" s="4"/>
      <c r="L39" s="4"/>
      <c r="M39" s="4"/>
      <c r="N39" s="4"/>
      <c r="O39" s="4"/>
      <c r="P39" s="4"/>
      <c r="Q39" s="4"/>
      <c r="R39" s="4"/>
      <c r="S39" s="4"/>
      <c r="T39" s="4"/>
      <c r="U39" s="4"/>
      <c r="V39" s="4"/>
      <c r="W39" s="4"/>
      <c r="X39" s="4"/>
      <c r="Y39" s="4"/>
    </row>
    <row r="40" spans="1:25" ht="33.75" customHeight="1">
      <c r="A40" s="4"/>
      <c r="B40" s="5"/>
      <c r="C40" s="4"/>
      <c r="D40" s="4"/>
      <c r="E40" s="4"/>
      <c r="F40" s="4"/>
      <c r="G40" s="4"/>
      <c r="H40" s="4"/>
      <c r="I40" s="4"/>
      <c r="J40" s="4"/>
      <c r="K40" s="4"/>
      <c r="L40" s="4"/>
      <c r="M40" s="4"/>
      <c r="N40" s="4"/>
      <c r="O40" s="4"/>
      <c r="P40" s="4"/>
      <c r="Q40" s="4"/>
      <c r="R40" s="4"/>
      <c r="S40" s="4"/>
      <c r="T40" s="4"/>
      <c r="U40" s="4"/>
      <c r="V40" s="4"/>
      <c r="W40" s="4"/>
      <c r="X40" s="4"/>
      <c r="Y40" s="4"/>
    </row>
    <row r="41" spans="1:25" ht="33.75" customHeight="1">
      <c r="A41" s="4"/>
      <c r="B41" s="5"/>
      <c r="C41" s="4"/>
      <c r="D41" s="4"/>
      <c r="E41" s="4"/>
      <c r="F41" s="4"/>
      <c r="G41" s="4"/>
      <c r="H41" s="4"/>
      <c r="I41" s="4"/>
      <c r="J41" s="4"/>
      <c r="K41" s="4"/>
      <c r="L41" s="4"/>
      <c r="M41" s="4"/>
      <c r="N41" s="4"/>
      <c r="O41" s="4"/>
      <c r="P41" s="4"/>
      <c r="Q41" s="4"/>
      <c r="R41" s="4"/>
      <c r="S41" s="4"/>
      <c r="T41" s="4"/>
      <c r="U41" s="4"/>
      <c r="V41" s="4"/>
      <c r="W41" s="4"/>
      <c r="X41" s="4"/>
      <c r="Y41" s="4"/>
    </row>
    <row r="42" spans="1:25" ht="33.75" customHeight="1">
      <c r="A42" s="4"/>
      <c r="B42" s="5"/>
      <c r="C42" s="4"/>
      <c r="D42" s="4"/>
      <c r="E42" s="4"/>
      <c r="F42" s="4"/>
      <c r="G42" s="4"/>
      <c r="H42" s="4"/>
      <c r="I42" s="4"/>
      <c r="J42" s="4"/>
      <c r="K42" s="4"/>
      <c r="L42" s="4"/>
      <c r="M42" s="4"/>
      <c r="N42" s="4"/>
      <c r="O42" s="4"/>
      <c r="P42" s="4"/>
      <c r="Q42" s="4"/>
      <c r="R42" s="4"/>
      <c r="S42" s="4"/>
      <c r="T42" s="4"/>
      <c r="U42" s="4"/>
      <c r="V42" s="4"/>
      <c r="W42" s="4"/>
      <c r="X42" s="4"/>
      <c r="Y42" s="4"/>
    </row>
    <row r="43" spans="1:25" ht="33.75" customHeight="1">
      <c r="A43" s="4"/>
      <c r="B43" s="5"/>
      <c r="C43" s="4"/>
      <c r="D43" s="4"/>
      <c r="E43" s="4"/>
      <c r="F43" s="4"/>
      <c r="G43" s="4"/>
      <c r="H43" s="4"/>
      <c r="I43" s="4"/>
      <c r="J43" s="4"/>
      <c r="K43" s="4"/>
      <c r="L43" s="4"/>
      <c r="M43" s="4"/>
      <c r="N43" s="4"/>
      <c r="O43" s="4"/>
      <c r="P43" s="4"/>
      <c r="Q43" s="4"/>
      <c r="R43" s="4"/>
      <c r="S43" s="4"/>
      <c r="T43" s="4"/>
      <c r="U43" s="4"/>
      <c r="V43" s="4"/>
      <c r="W43" s="4"/>
      <c r="X43" s="4"/>
      <c r="Y43" s="4"/>
    </row>
    <row r="44" spans="1:25" ht="33.75" customHeight="1">
      <c r="A44" s="4"/>
      <c r="B44" s="5"/>
      <c r="C44" s="4"/>
      <c r="D44" s="4"/>
      <c r="E44" s="4"/>
      <c r="F44" s="4"/>
      <c r="G44" s="4"/>
      <c r="H44" s="4"/>
      <c r="I44" s="4"/>
      <c r="J44" s="4"/>
      <c r="K44" s="4"/>
      <c r="L44" s="4"/>
      <c r="M44" s="4"/>
      <c r="N44" s="4"/>
      <c r="O44" s="4"/>
      <c r="P44" s="4"/>
      <c r="Q44" s="4"/>
      <c r="R44" s="4"/>
      <c r="S44" s="4"/>
      <c r="T44" s="4"/>
      <c r="U44" s="4"/>
      <c r="V44" s="4"/>
      <c r="W44" s="4"/>
      <c r="X44" s="4"/>
      <c r="Y44" s="4"/>
    </row>
    <row r="45" spans="1:25" ht="33.75" customHeight="1">
      <c r="A45" s="4"/>
      <c r="B45" s="5"/>
      <c r="C45" s="4"/>
      <c r="D45" s="4"/>
      <c r="E45" s="4"/>
      <c r="F45" s="4"/>
      <c r="G45" s="4"/>
      <c r="H45" s="4"/>
      <c r="I45" s="4"/>
      <c r="J45" s="4"/>
      <c r="K45" s="4"/>
      <c r="L45" s="4"/>
      <c r="M45" s="4"/>
      <c r="N45" s="4"/>
      <c r="O45" s="4"/>
      <c r="P45" s="4"/>
      <c r="Q45" s="4"/>
      <c r="R45" s="4"/>
      <c r="S45" s="4"/>
      <c r="T45" s="4"/>
      <c r="U45" s="4"/>
      <c r="V45" s="4"/>
      <c r="W45" s="4"/>
      <c r="X45" s="4"/>
      <c r="Y45" s="4"/>
    </row>
    <row r="46" spans="1:25" ht="33.75" customHeight="1">
      <c r="A46" s="4"/>
      <c r="B46" s="5"/>
      <c r="C46" s="4"/>
      <c r="D46" s="4"/>
      <c r="E46" s="4"/>
      <c r="F46" s="4"/>
      <c r="G46" s="4"/>
      <c r="H46" s="4"/>
      <c r="I46" s="4"/>
      <c r="J46" s="4"/>
      <c r="K46" s="4"/>
      <c r="L46" s="4"/>
      <c r="M46" s="4"/>
      <c r="N46" s="4"/>
      <c r="O46" s="4"/>
      <c r="P46" s="4"/>
      <c r="Q46" s="4"/>
      <c r="R46" s="4"/>
      <c r="S46" s="4"/>
      <c r="T46" s="4"/>
      <c r="U46" s="4"/>
      <c r="V46" s="4"/>
      <c r="W46" s="4"/>
      <c r="X46" s="4"/>
      <c r="Y46" s="4"/>
    </row>
    <row r="47" spans="1:25" ht="33.75" customHeight="1">
      <c r="A47" s="4"/>
      <c r="B47" s="5"/>
      <c r="C47" s="4"/>
      <c r="D47" s="4"/>
      <c r="E47" s="4"/>
      <c r="F47" s="4"/>
      <c r="G47" s="4"/>
      <c r="H47" s="4"/>
      <c r="I47" s="4"/>
      <c r="J47" s="4"/>
      <c r="K47" s="4"/>
      <c r="L47" s="4"/>
      <c r="M47" s="4"/>
      <c r="N47" s="4"/>
      <c r="O47" s="4"/>
      <c r="P47" s="4"/>
      <c r="Q47" s="4"/>
      <c r="R47" s="4"/>
      <c r="S47" s="4"/>
      <c r="T47" s="4"/>
      <c r="U47" s="4"/>
      <c r="V47" s="4"/>
      <c r="W47" s="4"/>
      <c r="X47" s="4"/>
      <c r="Y47" s="4"/>
    </row>
    <row r="48" spans="1:25" ht="33.75" customHeight="1">
      <c r="A48" s="4"/>
      <c r="B48" s="5"/>
      <c r="C48" s="4"/>
      <c r="D48" s="4"/>
      <c r="E48" s="4"/>
      <c r="F48" s="4"/>
      <c r="G48" s="4"/>
      <c r="H48" s="4"/>
      <c r="I48" s="4"/>
      <c r="J48" s="4"/>
      <c r="K48" s="4"/>
      <c r="L48" s="4"/>
      <c r="M48" s="4"/>
      <c r="N48" s="4"/>
      <c r="O48" s="4"/>
      <c r="P48" s="4"/>
      <c r="Q48" s="4"/>
      <c r="R48" s="4"/>
      <c r="S48" s="4"/>
      <c r="T48" s="4"/>
      <c r="U48" s="4"/>
      <c r="V48" s="4"/>
      <c r="W48" s="4"/>
      <c r="X48" s="4"/>
      <c r="Y48" s="4"/>
    </row>
    <row r="49" spans="1:25" ht="33.75" customHeight="1">
      <c r="A49" s="4"/>
      <c r="B49" s="5"/>
      <c r="C49" s="4"/>
      <c r="D49" s="4"/>
      <c r="E49" s="4"/>
      <c r="F49" s="4"/>
      <c r="G49" s="4"/>
      <c r="H49" s="4"/>
      <c r="I49" s="4"/>
      <c r="J49" s="4"/>
      <c r="K49" s="4"/>
      <c r="L49" s="4"/>
      <c r="M49" s="4"/>
      <c r="N49" s="4"/>
      <c r="O49" s="4"/>
      <c r="P49" s="4"/>
      <c r="Q49" s="4"/>
      <c r="R49" s="4"/>
      <c r="S49" s="4"/>
      <c r="T49" s="4"/>
      <c r="U49" s="4"/>
      <c r="V49" s="4"/>
      <c r="W49" s="4"/>
      <c r="X49" s="4"/>
      <c r="Y49" s="4"/>
    </row>
    <row r="50" spans="1:25" ht="33.75" customHeight="1">
      <c r="A50" s="4"/>
      <c r="B50" s="5"/>
      <c r="C50" s="4"/>
      <c r="D50" s="4"/>
      <c r="E50" s="4"/>
      <c r="F50" s="4"/>
      <c r="G50" s="4"/>
      <c r="H50" s="4"/>
      <c r="I50" s="4"/>
      <c r="J50" s="4"/>
      <c r="K50" s="4"/>
      <c r="L50" s="4"/>
      <c r="M50" s="4"/>
      <c r="N50" s="4"/>
      <c r="O50" s="4"/>
      <c r="P50" s="4"/>
      <c r="Q50" s="4"/>
      <c r="R50" s="4"/>
      <c r="S50" s="4"/>
      <c r="T50" s="4"/>
      <c r="U50" s="4"/>
      <c r="V50" s="4"/>
      <c r="W50" s="4"/>
      <c r="X50" s="4"/>
      <c r="Y50" s="4"/>
    </row>
    <row r="51" spans="1:25" ht="33.75" customHeight="1">
      <c r="A51" s="4"/>
      <c r="B51" s="5"/>
      <c r="C51" s="4"/>
      <c r="D51" s="4"/>
      <c r="E51" s="4"/>
      <c r="F51" s="4"/>
      <c r="G51" s="4"/>
      <c r="H51" s="4"/>
      <c r="I51" s="4"/>
      <c r="J51" s="4"/>
      <c r="K51" s="4"/>
      <c r="L51" s="4"/>
      <c r="M51" s="4"/>
      <c r="N51" s="4"/>
      <c r="O51" s="4"/>
      <c r="P51" s="4"/>
      <c r="Q51" s="4"/>
      <c r="R51" s="4"/>
      <c r="S51" s="4"/>
      <c r="T51" s="4"/>
      <c r="U51" s="4"/>
      <c r="V51" s="4"/>
      <c r="W51" s="4"/>
      <c r="X51" s="4"/>
      <c r="Y51" s="4"/>
    </row>
    <row r="52" spans="1:25" ht="33.75" customHeight="1">
      <c r="A52" s="4"/>
      <c r="B52" s="5"/>
      <c r="C52" s="4"/>
      <c r="D52" s="4"/>
      <c r="E52" s="4"/>
      <c r="F52" s="4"/>
      <c r="G52" s="4"/>
      <c r="H52" s="4"/>
      <c r="I52" s="4"/>
      <c r="J52" s="4"/>
      <c r="K52" s="4"/>
      <c r="L52" s="4"/>
      <c r="M52" s="4"/>
      <c r="N52" s="4"/>
      <c r="O52" s="4"/>
      <c r="P52" s="4"/>
      <c r="Q52" s="4"/>
      <c r="R52" s="4"/>
      <c r="S52" s="4"/>
      <c r="T52" s="4"/>
      <c r="U52" s="4"/>
      <c r="V52" s="4"/>
      <c r="W52" s="4"/>
      <c r="X52" s="4"/>
      <c r="Y52" s="4"/>
    </row>
    <row r="53" spans="1:25" ht="33.75" customHeight="1">
      <c r="A53" s="4"/>
      <c r="B53" s="5"/>
      <c r="C53" s="4"/>
      <c r="D53" s="4"/>
      <c r="E53" s="4"/>
      <c r="F53" s="4"/>
      <c r="G53" s="4"/>
      <c r="H53" s="4"/>
      <c r="I53" s="4"/>
      <c r="J53" s="4"/>
      <c r="K53" s="4"/>
      <c r="L53" s="4"/>
      <c r="M53" s="4"/>
      <c r="N53" s="4"/>
      <c r="O53" s="4"/>
      <c r="P53" s="4"/>
      <c r="Q53" s="4"/>
      <c r="R53" s="4"/>
      <c r="S53" s="4"/>
      <c r="T53" s="4"/>
      <c r="U53" s="4"/>
      <c r="V53" s="4"/>
      <c r="W53" s="4"/>
      <c r="X53" s="4"/>
      <c r="Y53" s="4"/>
    </row>
    <row r="54" spans="1:25" ht="33.75" customHeight="1">
      <c r="A54" s="4"/>
      <c r="B54" s="5"/>
      <c r="C54" s="4"/>
      <c r="D54" s="4"/>
      <c r="E54" s="4"/>
      <c r="F54" s="4"/>
      <c r="G54" s="4"/>
      <c r="H54" s="4"/>
      <c r="I54" s="4"/>
      <c r="J54" s="4"/>
      <c r="K54" s="4"/>
      <c r="L54" s="4"/>
      <c r="M54" s="4"/>
      <c r="N54" s="4"/>
      <c r="O54" s="4"/>
      <c r="P54" s="4"/>
      <c r="Q54" s="4"/>
      <c r="R54" s="4"/>
      <c r="S54" s="4"/>
      <c r="T54" s="4"/>
      <c r="U54" s="4"/>
      <c r="V54" s="4"/>
      <c r="W54" s="4"/>
      <c r="X54" s="4"/>
      <c r="Y54" s="4"/>
    </row>
    <row r="55" spans="1:25" ht="33.75" customHeight="1">
      <c r="A55" s="4"/>
      <c r="B55" s="5"/>
      <c r="C55" s="4"/>
      <c r="D55" s="4"/>
      <c r="E55" s="4"/>
      <c r="F55" s="4"/>
      <c r="G55" s="4"/>
      <c r="H55" s="4"/>
      <c r="I55" s="4"/>
      <c r="J55" s="4"/>
      <c r="K55" s="4"/>
      <c r="L55" s="4"/>
      <c r="M55" s="4"/>
      <c r="N55" s="4"/>
      <c r="O55" s="4"/>
      <c r="P55" s="4"/>
      <c r="Q55" s="4"/>
      <c r="R55" s="4"/>
      <c r="S55" s="4"/>
      <c r="T55" s="4"/>
      <c r="U55" s="4"/>
      <c r="V55" s="4"/>
      <c r="W55" s="4"/>
      <c r="X55" s="4"/>
      <c r="Y55" s="4"/>
    </row>
    <row r="56" spans="1:25" ht="33.75" customHeight="1">
      <c r="A56" s="4"/>
      <c r="B56" s="5"/>
      <c r="C56" s="4"/>
      <c r="D56" s="4"/>
      <c r="E56" s="4"/>
      <c r="F56" s="4"/>
      <c r="G56" s="4"/>
      <c r="H56" s="4"/>
      <c r="I56" s="4"/>
      <c r="J56" s="4"/>
      <c r="K56" s="4"/>
      <c r="L56" s="4"/>
      <c r="M56" s="4"/>
      <c r="N56" s="4"/>
      <c r="O56" s="4"/>
      <c r="P56" s="4"/>
      <c r="Q56" s="4"/>
      <c r="R56" s="4"/>
      <c r="S56" s="4"/>
      <c r="T56" s="4"/>
      <c r="U56" s="4"/>
      <c r="V56" s="4"/>
      <c r="W56" s="4"/>
      <c r="X56" s="4"/>
      <c r="Y56" s="4"/>
    </row>
    <row r="57" spans="1:25" ht="33.75" customHeight="1">
      <c r="A57" s="4"/>
      <c r="B57" s="5"/>
      <c r="C57" s="4"/>
      <c r="D57" s="4"/>
      <c r="E57" s="4"/>
      <c r="F57" s="4"/>
      <c r="G57" s="4"/>
      <c r="H57" s="4"/>
      <c r="I57" s="4"/>
      <c r="J57" s="4"/>
      <c r="K57" s="4"/>
      <c r="L57" s="4"/>
      <c r="M57" s="4"/>
      <c r="N57" s="4"/>
      <c r="O57" s="4"/>
      <c r="P57" s="4"/>
      <c r="Q57" s="4"/>
      <c r="R57" s="4"/>
      <c r="S57" s="4"/>
      <c r="T57" s="4"/>
      <c r="U57" s="4"/>
      <c r="V57" s="4"/>
      <c r="W57" s="4"/>
      <c r="X57" s="4"/>
      <c r="Y57" s="4"/>
    </row>
    <row r="58" spans="1:25" ht="33.75" customHeight="1">
      <c r="A58" s="4"/>
      <c r="B58" s="5"/>
      <c r="C58" s="4"/>
      <c r="D58" s="4"/>
      <c r="E58" s="4"/>
      <c r="F58" s="4"/>
      <c r="G58" s="4"/>
      <c r="H58" s="4"/>
      <c r="I58" s="4"/>
      <c r="J58" s="4"/>
      <c r="K58" s="4"/>
      <c r="L58" s="4"/>
      <c r="M58" s="4"/>
      <c r="N58" s="4"/>
      <c r="O58" s="4"/>
      <c r="P58" s="4"/>
      <c r="Q58" s="4"/>
      <c r="R58" s="4"/>
      <c r="S58" s="4"/>
      <c r="T58" s="4"/>
      <c r="U58" s="4"/>
      <c r="V58" s="4"/>
      <c r="W58" s="4"/>
      <c r="X58" s="4"/>
      <c r="Y58" s="4"/>
    </row>
    <row r="59" spans="1:25" ht="33.75" customHeight="1">
      <c r="A59" s="4"/>
      <c r="B59" s="5"/>
      <c r="C59" s="4"/>
      <c r="D59" s="4"/>
      <c r="E59" s="4"/>
      <c r="F59" s="4"/>
      <c r="G59" s="4"/>
      <c r="H59" s="4"/>
      <c r="I59" s="4"/>
      <c r="J59" s="4"/>
      <c r="K59" s="4"/>
      <c r="L59" s="4"/>
      <c r="M59" s="4"/>
      <c r="N59" s="4"/>
      <c r="O59" s="4"/>
      <c r="P59" s="4"/>
      <c r="Q59" s="4"/>
      <c r="R59" s="4"/>
      <c r="S59" s="4"/>
      <c r="T59" s="4"/>
      <c r="U59" s="4"/>
      <c r="V59" s="4"/>
      <c r="W59" s="4"/>
      <c r="X59" s="4"/>
      <c r="Y59" s="4"/>
    </row>
    <row r="60" spans="1:25" ht="33.75" customHeight="1">
      <c r="A60" s="4"/>
      <c r="B60" s="5"/>
      <c r="C60" s="4"/>
      <c r="D60" s="4"/>
      <c r="E60" s="4"/>
      <c r="F60" s="4"/>
      <c r="G60" s="4"/>
      <c r="H60" s="4"/>
      <c r="I60" s="4"/>
      <c r="J60" s="4"/>
      <c r="K60" s="4"/>
      <c r="L60" s="4"/>
      <c r="M60" s="4"/>
      <c r="N60" s="4"/>
      <c r="O60" s="4"/>
      <c r="P60" s="4"/>
      <c r="Q60" s="4"/>
      <c r="R60" s="4"/>
      <c r="S60" s="4"/>
      <c r="T60" s="4"/>
      <c r="U60" s="4"/>
      <c r="V60" s="4"/>
      <c r="W60" s="4"/>
      <c r="X60" s="4"/>
      <c r="Y60" s="4"/>
    </row>
    <row r="61" spans="1:25" ht="33.75" customHeight="1">
      <c r="A61" s="4"/>
      <c r="B61" s="5"/>
      <c r="C61" s="4"/>
      <c r="D61" s="4"/>
      <c r="E61" s="4"/>
      <c r="F61" s="4"/>
      <c r="G61" s="4"/>
      <c r="H61" s="4"/>
      <c r="I61" s="4"/>
      <c r="J61" s="4"/>
      <c r="K61" s="4"/>
      <c r="L61" s="4"/>
      <c r="M61" s="4"/>
      <c r="N61" s="4"/>
      <c r="O61" s="4"/>
      <c r="P61" s="4"/>
      <c r="Q61" s="4"/>
      <c r="R61" s="4"/>
      <c r="S61" s="4"/>
      <c r="T61" s="4"/>
      <c r="U61" s="4"/>
      <c r="V61" s="4"/>
      <c r="W61" s="4"/>
      <c r="X61" s="4"/>
      <c r="Y61" s="4"/>
    </row>
    <row r="62" spans="1:25" ht="33.75" customHeight="1">
      <c r="A62" s="4"/>
      <c r="B62" s="5"/>
      <c r="C62" s="4"/>
      <c r="D62" s="4"/>
      <c r="E62" s="4"/>
      <c r="F62" s="4"/>
      <c r="G62" s="4"/>
      <c r="H62" s="4"/>
      <c r="I62" s="4"/>
      <c r="J62" s="4"/>
      <c r="K62" s="4"/>
      <c r="L62" s="4"/>
      <c r="M62" s="4"/>
      <c r="N62" s="4"/>
      <c r="O62" s="4"/>
      <c r="P62" s="4"/>
      <c r="Q62" s="4"/>
      <c r="R62" s="4"/>
      <c r="S62" s="4"/>
      <c r="T62" s="4"/>
      <c r="U62" s="4"/>
      <c r="V62" s="4"/>
      <c r="W62" s="4"/>
      <c r="X62" s="4"/>
      <c r="Y62" s="4"/>
    </row>
    <row r="63" spans="1:25" ht="33.75" customHeight="1">
      <c r="A63" s="4"/>
      <c r="B63" s="5"/>
      <c r="C63" s="4"/>
      <c r="D63" s="4"/>
      <c r="E63" s="4"/>
      <c r="F63" s="4"/>
      <c r="G63" s="4"/>
      <c r="H63" s="4"/>
      <c r="I63" s="4"/>
      <c r="J63" s="4"/>
      <c r="K63" s="4"/>
      <c r="L63" s="4"/>
      <c r="M63" s="4"/>
      <c r="N63" s="4"/>
      <c r="O63" s="4"/>
      <c r="P63" s="4"/>
      <c r="Q63" s="4"/>
      <c r="R63" s="4"/>
      <c r="S63" s="4"/>
      <c r="T63" s="4"/>
      <c r="U63" s="4"/>
      <c r="V63" s="4"/>
      <c r="W63" s="4"/>
      <c r="X63" s="4"/>
      <c r="Y63" s="4"/>
    </row>
    <row r="64" spans="1:25" ht="33.75" customHeight="1">
      <c r="A64" s="4"/>
      <c r="B64" s="5"/>
      <c r="C64" s="4"/>
      <c r="D64" s="4"/>
      <c r="E64" s="4"/>
      <c r="F64" s="4"/>
      <c r="G64" s="4"/>
      <c r="H64" s="4"/>
      <c r="I64" s="4"/>
      <c r="J64" s="4"/>
      <c r="K64" s="4"/>
      <c r="L64" s="4"/>
      <c r="M64" s="4"/>
      <c r="N64" s="4"/>
      <c r="O64" s="4"/>
      <c r="P64" s="4"/>
      <c r="Q64" s="4"/>
      <c r="R64" s="4"/>
      <c r="S64" s="4"/>
      <c r="T64" s="4"/>
      <c r="U64" s="4"/>
      <c r="V64" s="4"/>
      <c r="W64" s="4"/>
      <c r="X64" s="4"/>
      <c r="Y64" s="4"/>
    </row>
    <row r="65" spans="1:25" ht="33.75" customHeight="1">
      <c r="A65" s="4"/>
      <c r="B65" s="5"/>
      <c r="C65" s="4"/>
      <c r="D65" s="4"/>
      <c r="E65" s="4"/>
      <c r="F65" s="4"/>
      <c r="G65" s="4"/>
      <c r="H65" s="4"/>
      <c r="I65" s="4"/>
      <c r="J65" s="4"/>
      <c r="K65" s="4"/>
      <c r="L65" s="4"/>
      <c r="M65" s="4"/>
      <c r="N65" s="4"/>
      <c r="O65" s="4"/>
      <c r="P65" s="4"/>
      <c r="Q65" s="4"/>
      <c r="R65" s="4"/>
      <c r="S65" s="4"/>
      <c r="T65" s="4"/>
      <c r="U65" s="4"/>
      <c r="V65" s="4"/>
      <c r="W65" s="4"/>
      <c r="X65" s="4"/>
      <c r="Y65" s="4"/>
    </row>
    <row r="66" spans="1:25" ht="33.75" customHeight="1">
      <c r="A66" s="4"/>
      <c r="B66" s="5"/>
      <c r="C66" s="4"/>
      <c r="D66" s="4"/>
      <c r="E66" s="4"/>
      <c r="F66" s="4"/>
      <c r="G66" s="4"/>
      <c r="H66" s="4"/>
      <c r="I66" s="4"/>
      <c r="J66" s="4"/>
      <c r="K66" s="4"/>
      <c r="L66" s="4"/>
      <c r="M66" s="4"/>
      <c r="N66" s="4"/>
      <c r="O66" s="4"/>
      <c r="P66" s="4"/>
      <c r="Q66" s="4"/>
      <c r="R66" s="4"/>
      <c r="S66" s="4"/>
      <c r="T66" s="4"/>
      <c r="U66" s="4"/>
      <c r="V66" s="4"/>
      <c r="W66" s="4"/>
      <c r="X66" s="4"/>
      <c r="Y66" s="4"/>
    </row>
    <row r="67" spans="1:25" ht="33.75" customHeight="1">
      <c r="A67" s="4"/>
      <c r="B67" s="5"/>
      <c r="C67" s="4"/>
      <c r="D67" s="4"/>
      <c r="E67" s="4"/>
      <c r="F67" s="4"/>
      <c r="G67" s="4"/>
      <c r="H67" s="4"/>
      <c r="I67" s="4"/>
      <c r="J67" s="4"/>
      <c r="K67" s="4"/>
      <c r="L67" s="4"/>
      <c r="M67" s="4"/>
      <c r="N67" s="4"/>
      <c r="O67" s="4"/>
      <c r="P67" s="4"/>
      <c r="Q67" s="4"/>
      <c r="R67" s="4"/>
      <c r="S67" s="4"/>
      <c r="T67" s="4"/>
      <c r="U67" s="4"/>
      <c r="V67" s="4"/>
      <c r="W67" s="4"/>
      <c r="X67" s="4"/>
      <c r="Y67" s="4"/>
    </row>
    <row r="68" spans="1:25" ht="33.75" customHeight="1">
      <c r="A68" s="4"/>
      <c r="B68" s="5"/>
      <c r="C68" s="4"/>
      <c r="D68" s="4"/>
      <c r="E68" s="4"/>
      <c r="F68" s="4"/>
      <c r="G68" s="4"/>
      <c r="H68" s="4"/>
      <c r="I68" s="4"/>
      <c r="J68" s="4"/>
      <c r="K68" s="4"/>
      <c r="L68" s="4"/>
      <c r="M68" s="4"/>
      <c r="N68" s="4"/>
      <c r="O68" s="4"/>
      <c r="P68" s="4"/>
      <c r="Q68" s="4"/>
      <c r="R68" s="4"/>
      <c r="S68" s="4"/>
      <c r="T68" s="4"/>
      <c r="U68" s="4"/>
      <c r="V68" s="4"/>
      <c r="W68" s="4"/>
      <c r="X68" s="4"/>
      <c r="Y68" s="4"/>
    </row>
    <row r="69" spans="1:25" ht="33.75" customHeight="1">
      <c r="A69" s="4"/>
      <c r="B69" s="5"/>
      <c r="C69" s="4"/>
      <c r="D69" s="4"/>
      <c r="E69" s="4"/>
      <c r="F69" s="4"/>
      <c r="G69" s="4"/>
      <c r="H69" s="4"/>
      <c r="I69" s="4"/>
      <c r="J69" s="4"/>
      <c r="K69" s="4"/>
      <c r="L69" s="4"/>
      <c r="M69" s="4"/>
      <c r="N69" s="4"/>
      <c r="O69" s="4"/>
      <c r="P69" s="4"/>
      <c r="Q69" s="4"/>
      <c r="R69" s="4"/>
      <c r="S69" s="4"/>
      <c r="T69" s="4"/>
      <c r="U69" s="4"/>
      <c r="V69" s="4"/>
      <c r="W69" s="4"/>
      <c r="X69" s="4"/>
      <c r="Y69" s="4"/>
    </row>
    <row r="70" spans="1:25" ht="33.75" customHeight="1">
      <c r="A70" s="4"/>
      <c r="B70" s="5"/>
      <c r="C70" s="4"/>
      <c r="D70" s="4"/>
      <c r="E70" s="4"/>
      <c r="F70" s="4"/>
      <c r="G70" s="4"/>
      <c r="H70" s="4"/>
      <c r="I70" s="4"/>
      <c r="J70" s="4"/>
      <c r="K70" s="4"/>
      <c r="L70" s="4"/>
      <c r="M70" s="4"/>
      <c r="N70" s="4"/>
      <c r="O70" s="4"/>
      <c r="P70" s="4"/>
      <c r="Q70" s="4"/>
      <c r="R70" s="4"/>
      <c r="S70" s="4"/>
      <c r="T70" s="4"/>
      <c r="U70" s="4"/>
      <c r="V70" s="4"/>
      <c r="W70" s="4"/>
      <c r="X70" s="4"/>
      <c r="Y70" s="4"/>
    </row>
    <row r="71" spans="1:25" ht="33.75" customHeight="1">
      <c r="A71" s="4"/>
      <c r="B71" s="5"/>
      <c r="C71" s="4"/>
      <c r="D71" s="4"/>
      <c r="E71" s="4"/>
      <c r="F71" s="4"/>
      <c r="G71" s="4"/>
      <c r="H71" s="4"/>
      <c r="I71" s="4"/>
      <c r="J71" s="4"/>
      <c r="K71" s="4"/>
      <c r="L71" s="4"/>
      <c r="M71" s="4"/>
      <c r="N71" s="4"/>
      <c r="O71" s="4"/>
      <c r="P71" s="4"/>
      <c r="Q71" s="4"/>
      <c r="R71" s="4"/>
      <c r="S71" s="4"/>
      <c r="T71" s="4"/>
      <c r="U71" s="4"/>
      <c r="V71" s="4"/>
      <c r="W71" s="4"/>
      <c r="X71" s="4"/>
      <c r="Y71" s="4"/>
    </row>
    <row r="72" spans="1:25" ht="33.75" customHeight="1">
      <c r="A72" s="4"/>
      <c r="B72" s="5"/>
      <c r="C72" s="4"/>
      <c r="D72" s="4"/>
      <c r="E72" s="4"/>
      <c r="F72" s="4"/>
      <c r="G72" s="4"/>
      <c r="H72" s="4"/>
      <c r="I72" s="4"/>
      <c r="J72" s="4"/>
      <c r="K72" s="4"/>
      <c r="L72" s="4"/>
      <c r="M72" s="4"/>
      <c r="N72" s="4"/>
      <c r="O72" s="4"/>
      <c r="P72" s="4"/>
      <c r="Q72" s="4"/>
      <c r="R72" s="4"/>
      <c r="S72" s="4"/>
      <c r="T72" s="4"/>
      <c r="U72" s="4"/>
      <c r="V72" s="4"/>
      <c r="W72" s="4"/>
      <c r="X72" s="4"/>
      <c r="Y72" s="4"/>
    </row>
    <row r="73" spans="1:25" ht="33.75" customHeight="1">
      <c r="A73" s="4"/>
      <c r="B73" s="5"/>
      <c r="C73" s="4"/>
      <c r="D73" s="4"/>
      <c r="E73" s="4"/>
      <c r="F73" s="4"/>
      <c r="G73" s="4"/>
      <c r="H73" s="4"/>
      <c r="I73" s="4"/>
      <c r="J73" s="4"/>
      <c r="K73" s="4"/>
      <c r="L73" s="4"/>
      <c r="M73" s="4"/>
      <c r="N73" s="4"/>
      <c r="O73" s="4"/>
      <c r="P73" s="4"/>
      <c r="Q73" s="4"/>
      <c r="R73" s="4"/>
      <c r="S73" s="4"/>
      <c r="T73" s="4"/>
      <c r="U73" s="4"/>
      <c r="V73" s="4"/>
      <c r="W73" s="4"/>
      <c r="X73" s="4"/>
      <c r="Y73" s="4"/>
    </row>
    <row r="74" spans="1:25" ht="33.75" customHeight="1">
      <c r="A74" s="4"/>
      <c r="B74" s="5"/>
      <c r="C74" s="4"/>
      <c r="D74" s="4"/>
      <c r="E74" s="4"/>
      <c r="F74" s="4"/>
      <c r="G74" s="4"/>
      <c r="H74" s="4"/>
      <c r="I74" s="4"/>
      <c r="J74" s="4"/>
      <c r="K74" s="4"/>
      <c r="L74" s="4"/>
      <c r="M74" s="4"/>
      <c r="N74" s="4"/>
      <c r="O74" s="4"/>
      <c r="P74" s="4"/>
      <c r="Q74" s="4"/>
      <c r="R74" s="4"/>
      <c r="S74" s="4"/>
      <c r="T74" s="4"/>
      <c r="U74" s="4"/>
      <c r="V74" s="4"/>
      <c r="W74" s="4"/>
      <c r="X74" s="4"/>
      <c r="Y74" s="4"/>
    </row>
    <row r="75" spans="1:25" ht="33.75" customHeight="1">
      <c r="A75" s="4"/>
      <c r="B75" s="5"/>
      <c r="C75" s="4"/>
      <c r="D75" s="4"/>
      <c r="E75" s="4"/>
      <c r="F75" s="4"/>
      <c r="G75" s="4"/>
      <c r="H75" s="4"/>
      <c r="I75" s="4"/>
      <c r="J75" s="4"/>
      <c r="K75" s="4"/>
      <c r="L75" s="4"/>
      <c r="M75" s="4"/>
      <c r="N75" s="4"/>
      <c r="O75" s="4"/>
      <c r="P75" s="4"/>
      <c r="Q75" s="4"/>
      <c r="R75" s="4"/>
      <c r="S75" s="4"/>
      <c r="T75" s="4"/>
      <c r="U75" s="4"/>
      <c r="V75" s="4"/>
      <c r="W75" s="4"/>
      <c r="X75" s="4"/>
      <c r="Y75" s="4"/>
    </row>
    <row r="76" spans="1:25" ht="33.75" customHeight="1">
      <c r="A76" s="4"/>
      <c r="B76" s="5"/>
      <c r="C76" s="4"/>
      <c r="D76" s="4"/>
      <c r="E76" s="4"/>
      <c r="F76" s="4"/>
      <c r="G76" s="4"/>
      <c r="H76" s="4"/>
      <c r="I76" s="4"/>
      <c r="J76" s="4"/>
      <c r="K76" s="4"/>
      <c r="L76" s="4"/>
      <c r="M76" s="4"/>
      <c r="N76" s="4"/>
      <c r="O76" s="4"/>
      <c r="P76" s="4"/>
      <c r="Q76" s="4"/>
      <c r="R76" s="4"/>
      <c r="S76" s="4"/>
      <c r="T76" s="4"/>
      <c r="U76" s="4"/>
      <c r="V76" s="4"/>
      <c r="W76" s="4"/>
      <c r="X76" s="4"/>
      <c r="Y76" s="4"/>
    </row>
    <row r="77" spans="1:25" ht="33.75" customHeight="1">
      <c r="A77" s="4"/>
      <c r="B77" s="5"/>
      <c r="C77" s="4"/>
      <c r="D77" s="4"/>
      <c r="E77" s="4"/>
      <c r="F77" s="4"/>
      <c r="G77" s="4"/>
      <c r="H77" s="4"/>
      <c r="I77" s="4"/>
      <c r="J77" s="4"/>
      <c r="K77" s="4"/>
      <c r="L77" s="4"/>
      <c r="M77" s="4"/>
      <c r="N77" s="4"/>
      <c r="O77" s="4"/>
      <c r="P77" s="4"/>
      <c r="Q77" s="4"/>
      <c r="R77" s="4"/>
      <c r="S77" s="4"/>
      <c r="T77" s="4"/>
      <c r="U77" s="4"/>
      <c r="V77" s="4"/>
      <c r="W77" s="4"/>
      <c r="X77" s="4"/>
      <c r="Y77" s="4"/>
    </row>
    <row r="78" spans="1:25" ht="33.75" customHeight="1">
      <c r="A78" s="4"/>
      <c r="B78" s="5"/>
      <c r="C78" s="4"/>
      <c r="D78" s="4"/>
      <c r="E78" s="4"/>
      <c r="F78" s="4"/>
      <c r="G78" s="4"/>
      <c r="H78" s="4"/>
      <c r="I78" s="4"/>
      <c r="J78" s="4"/>
      <c r="K78" s="4"/>
      <c r="L78" s="4"/>
      <c r="M78" s="4"/>
      <c r="N78" s="4"/>
      <c r="O78" s="4"/>
      <c r="P78" s="4"/>
      <c r="Q78" s="4"/>
      <c r="R78" s="4"/>
      <c r="S78" s="4"/>
      <c r="T78" s="4"/>
      <c r="U78" s="4"/>
      <c r="V78" s="4"/>
      <c r="W78" s="4"/>
      <c r="X78" s="4"/>
      <c r="Y78" s="4"/>
    </row>
    <row r="79" spans="1:25" ht="33.75" customHeight="1">
      <c r="A79" s="4"/>
      <c r="B79" s="5"/>
      <c r="C79" s="4"/>
      <c r="D79" s="4"/>
      <c r="E79" s="4"/>
      <c r="F79" s="4"/>
      <c r="G79" s="4"/>
      <c r="H79" s="4"/>
      <c r="I79" s="4"/>
      <c r="J79" s="4"/>
      <c r="K79" s="4"/>
      <c r="L79" s="4"/>
      <c r="M79" s="4"/>
      <c r="N79" s="4"/>
      <c r="O79" s="4"/>
      <c r="P79" s="4"/>
      <c r="Q79" s="4"/>
      <c r="R79" s="4"/>
      <c r="S79" s="4"/>
      <c r="T79" s="4"/>
      <c r="U79" s="4"/>
      <c r="V79" s="4"/>
      <c r="W79" s="4"/>
      <c r="X79" s="4"/>
      <c r="Y79" s="4"/>
    </row>
    <row r="80" spans="1:25" ht="33.75" customHeight="1">
      <c r="A80" s="4"/>
      <c r="B80" s="5"/>
      <c r="C80" s="4"/>
      <c r="D80" s="4"/>
      <c r="E80" s="4"/>
      <c r="F80" s="4"/>
      <c r="G80" s="4"/>
      <c r="H80" s="4"/>
      <c r="I80" s="4"/>
      <c r="J80" s="4"/>
      <c r="K80" s="4"/>
      <c r="L80" s="4"/>
      <c r="M80" s="4"/>
      <c r="N80" s="4"/>
      <c r="O80" s="4"/>
      <c r="P80" s="4"/>
      <c r="Q80" s="4"/>
      <c r="R80" s="4"/>
      <c r="S80" s="4"/>
      <c r="T80" s="4"/>
      <c r="U80" s="4"/>
      <c r="V80" s="4"/>
      <c r="W80" s="4"/>
      <c r="X80" s="4"/>
      <c r="Y80" s="4"/>
    </row>
    <row r="81" spans="1:25" ht="33.75" customHeight="1">
      <c r="A81" s="4"/>
      <c r="B81" s="5"/>
      <c r="C81" s="4"/>
      <c r="D81" s="4"/>
      <c r="E81" s="4"/>
      <c r="F81" s="4"/>
      <c r="G81" s="4"/>
      <c r="H81" s="4"/>
      <c r="I81" s="4"/>
      <c r="J81" s="4"/>
      <c r="K81" s="4"/>
      <c r="L81" s="4"/>
      <c r="M81" s="4"/>
      <c r="N81" s="4"/>
      <c r="O81" s="4"/>
      <c r="P81" s="4"/>
      <c r="Q81" s="4"/>
      <c r="R81" s="4"/>
      <c r="S81" s="4"/>
      <c r="T81" s="4"/>
      <c r="U81" s="4"/>
      <c r="V81" s="4"/>
      <c r="W81" s="4"/>
      <c r="X81" s="4"/>
      <c r="Y81" s="4"/>
    </row>
    <row r="82" spans="1:25" ht="33.75" customHeight="1">
      <c r="A82" s="4"/>
      <c r="B82" s="5"/>
      <c r="C82" s="4"/>
      <c r="D82" s="4"/>
      <c r="E82" s="4"/>
      <c r="F82" s="4"/>
      <c r="G82" s="4"/>
      <c r="H82" s="4"/>
      <c r="I82" s="4"/>
      <c r="J82" s="4"/>
      <c r="K82" s="4"/>
      <c r="L82" s="4"/>
      <c r="M82" s="4"/>
      <c r="N82" s="4"/>
      <c r="O82" s="4"/>
      <c r="P82" s="4"/>
      <c r="Q82" s="4"/>
      <c r="R82" s="4"/>
      <c r="S82" s="4"/>
      <c r="T82" s="4"/>
      <c r="U82" s="4"/>
      <c r="V82" s="4"/>
      <c r="W82" s="4"/>
      <c r="X82" s="4"/>
      <c r="Y82" s="4"/>
    </row>
    <row r="83" spans="1:25" ht="33.75" customHeight="1">
      <c r="A83" s="4"/>
      <c r="B83" s="5"/>
      <c r="C83" s="4"/>
      <c r="D83" s="4"/>
      <c r="E83" s="4"/>
      <c r="F83" s="4"/>
      <c r="G83" s="4"/>
      <c r="H83" s="4"/>
      <c r="I83" s="4"/>
      <c r="J83" s="4"/>
      <c r="K83" s="4"/>
      <c r="L83" s="4"/>
      <c r="M83" s="4"/>
      <c r="N83" s="4"/>
      <c r="O83" s="4"/>
      <c r="P83" s="4"/>
      <c r="Q83" s="4"/>
      <c r="R83" s="4"/>
      <c r="S83" s="4"/>
      <c r="T83" s="4"/>
      <c r="U83" s="4"/>
      <c r="V83" s="4"/>
      <c r="W83" s="4"/>
      <c r="X83" s="4"/>
      <c r="Y83" s="4"/>
    </row>
    <row r="84" spans="1:25" ht="33.75" customHeight="1">
      <c r="A84" s="4"/>
      <c r="B84" s="5"/>
      <c r="C84" s="4"/>
      <c r="D84" s="4"/>
      <c r="E84" s="4"/>
      <c r="F84" s="4"/>
      <c r="G84" s="4"/>
      <c r="H84" s="4"/>
      <c r="I84" s="4"/>
      <c r="J84" s="4"/>
      <c r="K84" s="4"/>
      <c r="L84" s="4"/>
      <c r="M84" s="4"/>
      <c r="N84" s="4"/>
      <c r="O84" s="4"/>
      <c r="P84" s="4"/>
      <c r="Q84" s="4"/>
      <c r="R84" s="4"/>
      <c r="S84" s="4"/>
      <c r="T84" s="4"/>
      <c r="U84" s="4"/>
      <c r="V84" s="4"/>
      <c r="W84" s="4"/>
      <c r="X84" s="4"/>
      <c r="Y84" s="4"/>
    </row>
    <row r="85" spans="1:25" ht="33.75" customHeight="1">
      <c r="A85" s="4"/>
      <c r="B85" s="5"/>
      <c r="C85" s="4"/>
      <c r="D85" s="4"/>
      <c r="E85" s="4"/>
      <c r="F85" s="4"/>
      <c r="G85" s="4"/>
      <c r="H85" s="4"/>
      <c r="I85" s="4"/>
      <c r="J85" s="4"/>
      <c r="K85" s="4"/>
      <c r="L85" s="4"/>
      <c r="M85" s="4"/>
      <c r="N85" s="4"/>
      <c r="O85" s="4"/>
      <c r="P85" s="4"/>
      <c r="Q85" s="4"/>
      <c r="R85" s="4"/>
      <c r="S85" s="4"/>
      <c r="T85" s="4"/>
      <c r="U85" s="4"/>
      <c r="V85" s="4"/>
      <c r="W85" s="4"/>
      <c r="X85" s="4"/>
      <c r="Y85" s="4"/>
    </row>
    <row r="86" spans="1:25" ht="33.75" customHeight="1">
      <c r="A86" s="4"/>
      <c r="B86" s="5"/>
      <c r="C86" s="4"/>
      <c r="D86" s="4"/>
      <c r="E86" s="4"/>
      <c r="F86" s="4"/>
      <c r="G86" s="4"/>
      <c r="H86" s="4"/>
      <c r="I86" s="4"/>
      <c r="J86" s="4"/>
      <c r="K86" s="4"/>
      <c r="L86" s="4"/>
      <c r="M86" s="4"/>
      <c r="N86" s="4"/>
      <c r="O86" s="4"/>
      <c r="P86" s="4"/>
      <c r="Q86" s="4"/>
      <c r="R86" s="4"/>
      <c r="S86" s="4"/>
      <c r="T86" s="4"/>
      <c r="U86" s="4"/>
      <c r="V86" s="4"/>
      <c r="W86" s="4"/>
      <c r="X86" s="4"/>
      <c r="Y86" s="4"/>
    </row>
    <row r="87" spans="1:25" ht="33.75" customHeight="1">
      <c r="A87" s="4"/>
      <c r="B87" s="5"/>
      <c r="C87" s="4"/>
      <c r="D87" s="4"/>
      <c r="E87" s="4"/>
      <c r="F87" s="4"/>
      <c r="G87" s="4"/>
      <c r="H87" s="4"/>
      <c r="I87" s="4"/>
      <c r="J87" s="4"/>
      <c r="K87" s="4"/>
      <c r="L87" s="4"/>
      <c r="M87" s="4"/>
      <c r="N87" s="4"/>
      <c r="O87" s="4"/>
      <c r="P87" s="4"/>
      <c r="Q87" s="4"/>
      <c r="R87" s="4"/>
      <c r="S87" s="4"/>
      <c r="T87" s="4"/>
      <c r="U87" s="4"/>
      <c r="V87" s="4"/>
      <c r="W87" s="4"/>
      <c r="X87" s="4"/>
      <c r="Y87" s="4"/>
    </row>
    <row r="88" spans="1:25" ht="33.75" customHeight="1">
      <c r="A88" s="4"/>
      <c r="B88" s="5"/>
      <c r="C88" s="4"/>
      <c r="D88" s="4"/>
      <c r="E88" s="4"/>
      <c r="F88" s="4"/>
      <c r="G88" s="4"/>
      <c r="H88" s="4"/>
      <c r="I88" s="4"/>
      <c r="J88" s="4"/>
      <c r="K88" s="4"/>
      <c r="L88" s="4"/>
      <c r="M88" s="4"/>
      <c r="N88" s="4"/>
      <c r="O88" s="4"/>
      <c r="P88" s="4"/>
      <c r="Q88" s="4"/>
      <c r="R88" s="4"/>
      <c r="S88" s="4"/>
      <c r="T88" s="4"/>
      <c r="U88" s="4"/>
      <c r="V88" s="4"/>
      <c r="W88" s="4"/>
      <c r="X88" s="4"/>
      <c r="Y88" s="4"/>
    </row>
    <row r="89" spans="1:25" ht="33.75" customHeight="1">
      <c r="A89" s="4"/>
      <c r="B89" s="5"/>
      <c r="C89" s="4"/>
      <c r="D89" s="4"/>
      <c r="E89" s="4"/>
      <c r="F89" s="4"/>
      <c r="G89" s="4"/>
      <c r="H89" s="4"/>
      <c r="I89" s="4"/>
      <c r="J89" s="4"/>
      <c r="K89" s="4"/>
      <c r="L89" s="4"/>
      <c r="M89" s="4"/>
      <c r="N89" s="4"/>
      <c r="O89" s="4"/>
      <c r="P89" s="4"/>
      <c r="Q89" s="4"/>
      <c r="R89" s="4"/>
      <c r="S89" s="4"/>
      <c r="T89" s="4"/>
      <c r="U89" s="4"/>
      <c r="V89" s="4"/>
      <c r="W89" s="4"/>
      <c r="X89" s="4"/>
      <c r="Y89" s="4"/>
    </row>
    <row r="90" spans="1:25" ht="33.75" customHeight="1">
      <c r="A90" s="4"/>
      <c r="B90" s="5"/>
      <c r="C90" s="4"/>
      <c r="D90" s="4"/>
      <c r="E90" s="4"/>
      <c r="F90" s="4"/>
      <c r="G90" s="4"/>
      <c r="H90" s="4"/>
      <c r="I90" s="4"/>
      <c r="J90" s="4"/>
      <c r="K90" s="4"/>
      <c r="L90" s="4"/>
      <c r="M90" s="4"/>
      <c r="N90" s="4"/>
      <c r="O90" s="4"/>
      <c r="P90" s="4"/>
      <c r="Q90" s="4"/>
      <c r="R90" s="4"/>
      <c r="S90" s="4"/>
      <c r="T90" s="4"/>
      <c r="U90" s="4"/>
      <c r="V90" s="4"/>
      <c r="W90" s="4"/>
      <c r="X90" s="4"/>
      <c r="Y90" s="4"/>
    </row>
    <row r="91" spans="1:25" ht="33.75" customHeight="1">
      <c r="A91" s="4"/>
      <c r="B91" s="5"/>
      <c r="C91" s="4"/>
      <c r="D91" s="4"/>
      <c r="E91" s="4"/>
      <c r="F91" s="4"/>
      <c r="G91" s="4"/>
      <c r="H91" s="4"/>
      <c r="I91" s="4"/>
      <c r="J91" s="4"/>
      <c r="K91" s="4"/>
      <c r="L91" s="4"/>
      <c r="M91" s="4"/>
      <c r="N91" s="4"/>
      <c r="O91" s="4"/>
      <c r="P91" s="4"/>
      <c r="Q91" s="4"/>
      <c r="R91" s="4"/>
      <c r="S91" s="4"/>
      <c r="T91" s="4"/>
      <c r="U91" s="4"/>
      <c r="V91" s="4"/>
      <c r="W91" s="4"/>
      <c r="X91" s="4"/>
      <c r="Y91" s="4"/>
    </row>
    <row r="92" spans="1:25" ht="33.75" customHeight="1">
      <c r="A92" s="4"/>
      <c r="B92" s="5"/>
      <c r="C92" s="4"/>
      <c r="D92" s="4"/>
      <c r="E92" s="4"/>
      <c r="F92" s="4"/>
      <c r="G92" s="4"/>
      <c r="H92" s="4"/>
      <c r="I92" s="4"/>
      <c r="J92" s="4"/>
      <c r="K92" s="4"/>
      <c r="L92" s="4"/>
      <c r="M92" s="4"/>
      <c r="N92" s="4"/>
      <c r="O92" s="4"/>
      <c r="P92" s="4"/>
      <c r="Q92" s="4"/>
      <c r="R92" s="4"/>
      <c r="S92" s="4"/>
      <c r="T92" s="4"/>
      <c r="U92" s="4"/>
      <c r="V92" s="4"/>
      <c r="W92" s="4"/>
      <c r="X92" s="4"/>
      <c r="Y92" s="4"/>
    </row>
    <row r="93" spans="1:25" ht="33.75" customHeight="1">
      <c r="A93" s="4"/>
      <c r="B93" s="5"/>
      <c r="C93" s="4"/>
      <c r="D93" s="4"/>
      <c r="E93" s="4"/>
      <c r="F93" s="4"/>
      <c r="G93" s="4"/>
      <c r="H93" s="4"/>
      <c r="I93" s="4"/>
      <c r="J93" s="4"/>
      <c r="K93" s="4"/>
      <c r="L93" s="4"/>
      <c r="M93" s="4"/>
      <c r="N93" s="4"/>
      <c r="O93" s="4"/>
      <c r="P93" s="4"/>
      <c r="Q93" s="4"/>
      <c r="R93" s="4"/>
      <c r="S93" s="4"/>
      <c r="T93" s="4"/>
      <c r="U93" s="4"/>
      <c r="V93" s="4"/>
      <c r="W93" s="4"/>
      <c r="X93" s="4"/>
      <c r="Y93" s="4"/>
    </row>
    <row r="94" spans="1:25" ht="33.75" customHeight="1">
      <c r="A94" s="4"/>
      <c r="B94" s="5"/>
      <c r="C94" s="4"/>
      <c r="D94" s="4"/>
      <c r="E94" s="4"/>
      <c r="F94" s="4"/>
      <c r="G94" s="4"/>
      <c r="H94" s="4"/>
      <c r="I94" s="4"/>
      <c r="J94" s="4"/>
      <c r="K94" s="4"/>
      <c r="L94" s="4"/>
      <c r="M94" s="4"/>
      <c r="N94" s="4"/>
      <c r="O94" s="4"/>
      <c r="P94" s="4"/>
      <c r="Q94" s="4"/>
      <c r="R94" s="4"/>
      <c r="S94" s="4"/>
      <c r="T94" s="4"/>
      <c r="U94" s="4"/>
      <c r="V94" s="4"/>
      <c r="W94" s="4"/>
      <c r="X94" s="4"/>
      <c r="Y94" s="4"/>
    </row>
    <row r="95" spans="1:25" ht="33.75" customHeight="1">
      <c r="A95" s="4"/>
      <c r="B95" s="5"/>
      <c r="C95" s="4"/>
      <c r="D95" s="4"/>
      <c r="E95" s="4"/>
      <c r="F95" s="4"/>
      <c r="G95" s="4"/>
      <c r="H95" s="4"/>
      <c r="I95" s="4"/>
      <c r="J95" s="4"/>
      <c r="K95" s="4"/>
      <c r="L95" s="4"/>
      <c r="M95" s="4"/>
      <c r="N95" s="4"/>
      <c r="O95" s="4"/>
      <c r="P95" s="4"/>
      <c r="Q95" s="4"/>
      <c r="R95" s="4"/>
      <c r="S95" s="4"/>
      <c r="T95" s="4"/>
      <c r="U95" s="4"/>
      <c r="V95" s="4"/>
      <c r="W95" s="4"/>
      <c r="X95" s="4"/>
      <c r="Y95" s="4"/>
    </row>
    <row r="96" spans="1:25" ht="33.75" customHeight="1">
      <c r="A96" s="4"/>
      <c r="B96" s="5"/>
      <c r="C96" s="4"/>
      <c r="D96" s="4"/>
      <c r="E96" s="4"/>
      <c r="F96" s="4"/>
      <c r="G96" s="4"/>
      <c r="H96" s="4"/>
      <c r="I96" s="4"/>
      <c r="J96" s="4"/>
      <c r="K96" s="4"/>
      <c r="L96" s="4"/>
      <c r="M96" s="4"/>
      <c r="N96" s="4"/>
      <c r="O96" s="4"/>
      <c r="P96" s="4"/>
      <c r="Q96" s="4"/>
      <c r="R96" s="4"/>
      <c r="S96" s="4"/>
      <c r="T96" s="4"/>
      <c r="U96" s="4"/>
      <c r="V96" s="4"/>
      <c r="W96" s="4"/>
      <c r="X96" s="4"/>
      <c r="Y96" s="4"/>
    </row>
    <row r="97" spans="1:25" ht="33.75" customHeight="1">
      <c r="A97" s="4"/>
      <c r="B97" s="5"/>
      <c r="C97" s="4"/>
      <c r="D97" s="4"/>
      <c r="E97" s="4"/>
      <c r="F97" s="4"/>
      <c r="G97" s="4"/>
      <c r="H97" s="4"/>
      <c r="I97" s="4"/>
      <c r="J97" s="4"/>
      <c r="K97" s="4"/>
      <c r="L97" s="4"/>
      <c r="M97" s="4"/>
      <c r="N97" s="4"/>
      <c r="O97" s="4"/>
      <c r="P97" s="4"/>
      <c r="Q97" s="4"/>
      <c r="R97" s="4"/>
      <c r="S97" s="4"/>
      <c r="T97" s="4"/>
      <c r="U97" s="4"/>
      <c r="V97" s="4"/>
      <c r="W97" s="4"/>
      <c r="X97" s="4"/>
      <c r="Y97" s="4"/>
    </row>
    <row r="98" spans="1:25" ht="33.75" customHeight="1">
      <c r="A98" s="4"/>
      <c r="B98" s="5"/>
      <c r="C98" s="4"/>
      <c r="D98" s="4"/>
      <c r="E98" s="4"/>
      <c r="F98" s="4"/>
      <c r="G98" s="4"/>
      <c r="H98" s="4"/>
      <c r="I98" s="4"/>
      <c r="J98" s="4"/>
      <c r="K98" s="4"/>
      <c r="L98" s="4"/>
      <c r="M98" s="4"/>
      <c r="N98" s="4"/>
      <c r="O98" s="4"/>
      <c r="P98" s="4"/>
      <c r="Q98" s="4"/>
      <c r="R98" s="4"/>
      <c r="S98" s="4"/>
      <c r="T98" s="4"/>
      <c r="U98" s="4"/>
      <c r="V98" s="4"/>
      <c r="W98" s="4"/>
      <c r="X98" s="4"/>
      <c r="Y98" s="4"/>
    </row>
    <row r="99" spans="1:25" ht="33.75" customHeight="1">
      <c r="A99" s="4"/>
      <c r="B99" s="5"/>
      <c r="C99" s="4"/>
      <c r="D99" s="4"/>
      <c r="E99" s="4"/>
      <c r="F99" s="4"/>
      <c r="G99" s="4"/>
      <c r="H99" s="4"/>
      <c r="I99" s="4"/>
      <c r="J99" s="4"/>
      <c r="K99" s="4"/>
      <c r="L99" s="4"/>
      <c r="M99" s="4"/>
      <c r="N99" s="4"/>
      <c r="O99" s="4"/>
      <c r="P99" s="4"/>
      <c r="Q99" s="4"/>
      <c r="R99" s="4"/>
      <c r="S99" s="4"/>
      <c r="T99" s="4"/>
      <c r="U99" s="4"/>
      <c r="V99" s="4"/>
      <c r="W99" s="4"/>
      <c r="X99" s="4"/>
      <c r="Y99" s="4"/>
    </row>
    <row r="100" spans="1:25" ht="33.75" customHeight="1">
      <c r="A100" s="4"/>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ht="15.75" customHeight="1">
      <c r="B221" s="6"/>
    </row>
    <row r="222" spans="1:25" ht="15.75" customHeight="1">
      <c r="B222" s="6"/>
    </row>
    <row r="223" spans="1:25" ht="15.75" customHeight="1">
      <c r="B223" s="6"/>
    </row>
    <row r="224" spans="1:25"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autoFilter ref="A1:Y1" xr:uid="{00000000-0001-0000-0D00-000000000000}"/>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 ref="B8" r:id="rId7" xr:uid="{00000000-0004-0000-0D00-000006000000}"/>
    <hyperlink ref="B9" r:id="rId8" xr:uid="{00000000-0004-0000-0D00-000007000000}"/>
    <hyperlink ref="B10" r:id="rId9" xr:uid="{00000000-0004-0000-0D00-000008000000}"/>
    <hyperlink ref="B11" r:id="rId10" xr:uid="{00000000-0004-0000-0D00-000009000000}"/>
    <hyperlink ref="B12" r:id="rId11" xr:uid="{00000000-0004-0000-0D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pane ySplit="1" topLeftCell="A2" activePane="bottomLeft" state="frozen"/>
      <selection pane="bottomLeft" sqref="A1:XFD1"/>
    </sheetView>
  </sheetViews>
  <sheetFormatPr defaultColWidth="14.44140625" defaultRowHeight="15" customHeight="1"/>
  <cols>
    <col min="1" max="1" width="9.109375" customWidth="1"/>
    <col min="2" max="2" width="62.44140625" customWidth="1"/>
    <col min="3" max="3" width="19.33203125" customWidth="1"/>
    <col min="4" max="4" width="47.109375" customWidth="1"/>
    <col min="5" max="5" width="24.6640625" customWidth="1"/>
    <col min="6" max="25" width="9.109375" customWidth="1"/>
  </cols>
  <sheetData>
    <row r="1" spans="1:25" s="486" customFormat="1" ht="33.75" customHeight="1">
      <c r="A1" s="515" t="s">
        <v>1476</v>
      </c>
      <c r="B1" s="515" t="s">
        <v>1</v>
      </c>
      <c r="C1" s="515" t="s">
        <v>2</v>
      </c>
      <c r="D1" s="499" t="s">
        <v>3</v>
      </c>
      <c r="E1" s="499" t="s">
        <v>4</v>
      </c>
      <c r="F1" s="516"/>
      <c r="G1" s="504"/>
      <c r="H1" s="516"/>
      <c r="I1" s="516"/>
      <c r="J1" s="516"/>
      <c r="K1" s="516"/>
      <c r="L1" s="516"/>
      <c r="M1" s="516"/>
      <c r="N1" s="516"/>
      <c r="O1" s="516"/>
      <c r="P1" s="516"/>
      <c r="Q1" s="516"/>
      <c r="R1" s="516"/>
      <c r="S1" s="516"/>
      <c r="T1" s="516"/>
      <c r="U1" s="504"/>
      <c r="V1" s="504"/>
      <c r="W1" s="504"/>
      <c r="X1" s="504"/>
      <c r="Y1" s="504"/>
    </row>
    <row r="2" spans="1:25" ht="33.75" customHeight="1">
      <c r="A2" s="15">
        <v>1</v>
      </c>
      <c r="B2" s="2" t="s">
        <v>4839</v>
      </c>
      <c r="C2" s="419">
        <v>40364</v>
      </c>
      <c r="D2" s="113" t="s">
        <v>4840</v>
      </c>
      <c r="E2" s="113" t="s">
        <v>74</v>
      </c>
      <c r="F2" s="4"/>
      <c r="G2" s="4"/>
      <c r="H2" s="4"/>
      <c r="I2" s="4"/>
      <c r="J2" s="4"/>
      <c r="K2" s="4"/>
      <c r="L2" s="4"/>
      <c r="M2" s="4"/>
      <c r="N2" s="4"/>
      <c r="O2" s="4"/>
      <c r="P2" s="4"/>
      <c r="Q2" s="4"/>
      <c r="R2" s="4"/>
      <c r="S2" s="161"/>
      <c r="T2" s="161"/>
      <c r="U2" s="161"/>
      <c r="V2" s="161"/>
      <c r="W2" s="161"/>
      <c r="X2" s="161"/>
      <c r="Y2" s="161"/>
    </row>
    <row r="3" spans="1:25" ht="33.75" customHeight="1">
      <c r="A3" s="15">
        <v>2</v>
      </c>
      <c r="B3" s="2" t="s">
        <v>4841</v>
      </c>
      <c r="C3" s="419">
        <v>40395</v>
      </c>
      <c r="D3" s="113" t="s">
        <v>4842</v>
      </c>
      <c r="E3" s="113" t="s">
        <v>4843</v>
      </c>
      <c r="F3" s="4"/>
      <c r="G3" s="4"/>
      <c r="H3" s="4"/>
      <c r="I3" s="4"/>
      <c r="J3" s="4"/>
      <c r="K3" s="4"/>
      <c r="L3" s="4"/>
      <c r="M3" s="4"/>
      <c r="N3" s="4"/>
      <c r="O3" s="4"/>
      <c r="P3" s="4"/>
      <c r="Q3" s="4"/>
      <c r="R3" s="4"/>
      <c r="S3" s="161"/>
      <c r="T3" s="161"/>
      <c r="U3" s="161"/>
      <c r="V3" s="161"/>
      <c r="W3" s="161"/>
      <c r="X3" s="161"/>
      <c r="Y3" s="161"/>
    </row>
    <row r="4" spans="1:25" ht="33.75" customHeight="1">
      <c r="A4" s="15">
        <v>3</v>
      </c>
      <c r="B4" s="2" t="s">
        <v>4844</v>
      </c>
      <c r="C4" s="419">
        <v>40427</v>
      </c>
      <c r="D4" s="113" t="s">
        <v>4845</v>
      </c>
      <c r="E4" s="113" t="s">
        <v>4843</v>
      </c>
      <c r="F4" s="4"/>
      <c r="G4" s="4"/>
      <c r="H4" s="4"/>
      <c r="I4" s="4"/>
      <c r="J4" s="4"/>
      <c r="K4" s="4"/>
      <c r="L4" s="4"/>
      <c r="M4" s="4"/>
      <c r="N4" s="4"/>
      <c r="O4" s="4"/>
      <c r="P4" s="4"/>
      <c r="Q4" s="4"/>
      <c r="R4" s="4"/>
      <c r="S4" s="161"/>
      <c r="T4" s="161"/>
      <c r="U4" s="161"/>
      <c r="V4" s="161"/>
      <c r="W4" s="161"/>
      <c r="X4" s="161"/>
      <c r="Y4" s="161"/>
    </row>
    <row r="5" spans="1:25" ht="33.75" customHeight="1">
      <c r="A5" s="15">
        <v>4</v>
      </c>
      <c r="B5" s="2" t="s">
        <v>4846</v>
      </c>
      <c r="C5" s="419">
        <v>40455</v>
      </c>
      <c r="D5" s="113" t="s">
        <v>4847</v>
      </c>
      <c r="E5" s="113" t="s">
        <v>4848</v>
      </c>
      <c r="F5" s="4"/>
      <c r="G5" s="4"/>
      <c r="H5" s="4"/>
      <c r="I5" s="4"/>
      <c r="J5" s="4"/>
      <c r="K5" s="4"/>
      <c r="L5" s="4"/>
      <c r="M5" s="4"/>
      <c r="N5" s="4"/>
      <c r="O5" s="4"/>
      <c r="P5" s="4"/>
      <c r="Q5" s="4"/>
      <c r="R5" s="4"/>
      <c r="S5" s="161"/>
      <c r="T5" s="161"/>
      <c r="U5" s="161"/>
      <c r="V5" s="161"/>
      <c r="W5" s="161"/>
      <c r="X5" s="161"/>
      <c r="Y5" s="161"/>
    </row>
    <row r="6" spans="1:25" ht="33.75" customHeight="1">
      <c r="A6" s="15">
        <v>5</v>
      </c>
      <c r="B6" s="2" t="s">
        <v>4849</v>
      </c>
      <c r="C6" s="419">
        <v>40484</v>
      </c>
      <c r="D6" s="113" t="s">
        <v>4850</v>
      </c>
      <c r="E6" s="113" t="s">
        <v>4851</v>
      </c>
      <c r="F6" s="4"/>
      <c r="G6" s="4"/>
      <c r="H6" s="4"/>
      <c r="I6" s="4"/>
      <c r="J6" s="4"/>
      <c r="K6" s="4"/>
      <c r="L6" s="4"/>
      <c r="M6" s="4"/>
      <c r="N6" s="4"/>
      <c r="O6" s="4"/>
      <c r="P6" s="4"/>
      <c r="Q6" s="4"/>
      <c r="R6" s="4"/>
      <c r="S6" s="161"/>
      <c r="T6" s="161"/>
      <c r="U6" s="161"/>
      <c r="V6" s="161"/>
      <c r="W6" s="161"/>
      <c r="X6" s="161"/>
      <c r="Y6" s="161"/>
    </row>
    <row r="7" spans="1:25" ht="33.75" customHeight="1">
      <c r="A7" s="15">
        <v>6</v>
      </c>
      <c r="B7" s="2" t="s">
        <v>4852</v>
      </c>
      <c r="C7" s="419">
        <v>40515</v>
      </c>
      <c r="D7" s="113" t="s">
        <v>4853</v>
      </c>
      <c r="E7" s="113" t="s">
        <v>4854</v>
      </c>
      <c r="F7" s="4"/>
      <c r="G7" s="4"/>
      <c r="H7" s="4"/>
      <c r="I7" s="4"/>
      <c r="J7" s="4"/>
      <c r="K7" s="4"/>
      <c r="L7" s="4"/>
      <c r="M7" s="4"/>
      <c r="N7" s="4"/>
      <c r="O7" s="4"/>
      <c r="P7" s="4"/>
      <c r="Q7" s="4"/>
      <c r="R7" s="4"/>
      <c r="S7" s="161"/>
      <c r="T7" s="161"/>
      <c r="U7" s="161"/>
      <c r="V7" s="161"/>
      <c r="W7" s="161"/>
      <c r="X7" s="161"/>
      <c r="Y7" s="161"/>
    </row>
    <row r="8" spans="1:25" ht="33.75" customHeight="1">
      <c r="A8" s="4"/>
      <c r="B8" s="5"/>
      <c r="C8" s="7"/>
      <c r="D8" s="161"/>
      <c r="E8" s="4"/>
      <c r="F8" s="4"/>
      <c r="G8" s="4"/>
      <c r="H8" s="4"/>
      <c r="I8" s="4"/>
      <c r="J8" s="4"/>
      <c r="K8" s="4"/>
      <c r="L8" s="4"/>
      <c r="M8" s="4"/>
      <c r="N8" s="4"/>
      <c r="O8" s="4"/>
      <c r="P8" s="4"/>
      <c r="Q8" s="4"/>
      <c r="R8" s="4"/>
      <c r="S8" s="4"/>
      <c r="T8" s="4"/>
      <c r="U8" s="4"/>
      <c r="V8" s="4"/>
      <c r="W8" s="4"/>
      <c r="X8" s="4"/>
      <c r="Y8" s="4"/>
    </row>
    <row r="9" spans="1:25" ht="33.75" customHeight="1">
      <c r="A9" s="4"/>
      <c r="B9" s="5"/>
      <c r="C9" s="7"/>
      <c r="D9" s="161"/>
      <c r="E9" s="4"/>
      <c r="F9" s="4"/>
      <c r="G9" s="4"/>
      <c r="H9" s="4"/>
      <c r="I9" s="4"/>
      <c r="J9" s="4"/>
      <c r="K9" s="4"/>
      <c r="L9" s="4"/>
      <c r="M9" s="4"/>
      <c r="N9" s="4"/>
      <c r="O9" s="4"/>
      <c r="P9" s="4"/>
      <c r="Q9" s="4"/>
      <c r="R9" s="4"/>
      <c r="S9" s="4"/>
      <c r="T9" s="4"/>
      <c r="U9" s="4"/>
      <c r="V9" s="4"/>
      <c r="W9" s="4"/>
      <c r="X9" s="4"/>
      <c r="Y9" s="4"/>
    </row>
    <row r="10" spans="1:25" ht="33.75" customHeight="1">
      <c r="A10" s="4"/>
      <c r="B10" s="5"/>
      <c r="C10" s="7"/>
      <c r="D10" s="161"/>
      <c r="E10" s="4"/>
      <c r="F10" s="4"/>
      <c r="G10" s="4"/>
      <c r="H10" s="4"/>
      <c r="I10" s="4"/>
      <c r="J10" s="4"/>
      <c r="K10" s="4"/>
      <c r="L10" s="4"/>
      <c r="M10" s="4"/>
      <c r="N10" s="4"/>
      <c r="O10" s="4"/>
      <c r="P10" s="4"/>
      <c r="Q10" s="4"/>
      <c r="R10" s="4"/>
      <c r="S10" s="4"/>
      <c r="T10" s="4"/>
      <c r="U10" s="4"/>
      <c r="V10" s="4"/>
      <c r="W10" s="4"/>
      <c r="X10" s="4"/>
      <c r="Y10" s="4"/>
    </row>
    <row r="11" spans="1:25" ht="33.75" customHeight="1">
      <c r="A11" s="4"/>
      <c r="B11" s="5"/>
      <c r="C11" s="7"/>
      <c r="D11" s="161"/>
      <c r="E11" s="4"/>
      <c r="F11" s="4"/>
      <c r="G11" s="4"/>
      <c r="H11" s="4"/>
      <c r="I11" s="4"/>
      <c r="J11" s="4"/>
      <c r="K11" s="4"/>
      <c r="L11" s="4"/>
      <c r="M11" s="4"/>
      <c r="N11" s="4"/>
      <c r="O11" s="4"/>
      <c r="P11" s="4"/>
      <c r="Q11" s="4"/>
      <c r="R11" s="4"/>
      <c r="S11" s="4"/>
      <c r="T11" s="4"/>
      <c r="U11" s="4"/>
      <c r="V11" s="4"/>
      <c r="W11" s="4"/>
      <c r="X11" s="4"/>
      <c r="Y11" s="4"/>
    </row>
    <row r="12" spans="1:25" ht="33.75" customHeight="1">
      <c r="A12" s="4"/>
      <c r="B12" s="5"/>
      <c r="C12" s="7"/>
      <c r="D12" s="161"/>
      <c r="E12" s="4"/>
      <c r="F12" s="4"/>
      <c r="G12" s="4"/>
      <c r="H12" s="4"/>
      <c r="I12" s="4"/>
      <c r="J12" s="4"/>
      <c r="K12" s="4"/>
      <c r="L12" s="4"/>
      <c r="M12" s="4"/>
      <c r="N12" s="4"/>
      <c r="O12" s="4"/>
      <c r="P12" s="4"/>
      <c r="Q12" s="4"/>
      <c r="R12" s="4"/>
      <c r="S12" s="4"/>
      <c r="T12" s="4"/>
      <c r="U12" s="4"/>
      <c r="V12" s="4"/>
      <c r="W12" s="4"/>
      <c r="X12" s="4"/>
      <c r="Y12" s="4"/>
    </row>
    <row r="13" spans="1:25" ht="33.75" customHeight="1">
      <c r="A13" s="4"/>
      <c r="B13" s="5"/>
      <c r="C13" s="7"/>
      <c r="D13" s="161"/>
      <c r="E13" s="4"/>
      <c r="F13" s="4"/>
      <c r="G13" s="4"/>
      <c r="H13" s="4"/>
      <c r="I13" s="4"/>
      <c r="J13" s="4"/>
      <c r="K13" s="4"/>
      <c r="L13" s="4"/>
      <c r="M13" s="4"/>
      <c r="N13" s="4"/>
      <c r="O13" s="4"/>
      <c r="P13" s="4"/>
      <c r="Q13" s="4"/>
      <c r="R13" s="4"/>
      <c r="S13" s="4"/>
      <c r="T13" s="4"/>
      <c r="U13" s="4"/>
      <c r="V13" s="4"/>
      <c r="W13" s="4"/>
      <c r="X13" s="4"/>
      <c r="Y13" s="4"/>
    </row>
    <row r="14" spans="1:25" ht="33.75" customHeight="1">
      <c r="A14" s="4"/>
      <c r="B14" s="5"/>
      <c r="C14" s="7"/>
      <c r="D14" s="161"/>
      <c r="E14" s="4"/>
      <c r="F14" s="4"/>
      <c r="G14" s="4"/>
      <c r="H14" s="4"/>
      <c r="I14" s="4"/>
      <c r="J14" s="4"/>
      <c r="K14" s="4"/>
      <c r="L14" s="4"/>
      <c r="M14" s="4"/>
      <c r="N14" s="4"/>
      <c r="O14" s="4"/>
      <c r="P14" s="4"/>
      <c r="Q14" s="4"/>
      <c r="R14" s="4"/>
      <c r="S14" s="4"/>
      <c r="T14" s="4"/>
      <c r="U14" s="4"/>
      <c r="V14" s="4"/>
      <c r="W14" s="4"/>
      <c r="X14" s="4"/>
      <c r="Y14" s="4"/>
    </row>
    <row r="15" spans="1:25" ht="33.75" customHeight="1">
      <c r="A15" s="4"/>
      <c r="B15" s="5"/>
      <c r="C15" s="7"/>
      <c r="D15" s="161"/>
      <c r="E15" s="4"/>
      <c r="F15" s="4"/>
      <c r="G15" s="4"/>
      <c r="H15" s="4"/>
      <c r="I15" s="4"/>
      <c r="J15" s="4"/>
      <c r="K15" s="4"/>
      <c r="L15" s="4"/>
      <c r="M15" s="4"/>
      <c r="N15" s="4"/>
      <c r="O15" s="4"/>
      <c r="P15" s="4"/>
      <c r="Q15" s="4"/>
      <c r="R15" s="4"/>
      <c r="S15" s="4"/>
      <c r="T15" s="4"/>
      <c r="U15" s="4"/>
      <c r="V15" s="4"/>
      <c r="W15" s="4"/>
      <c r="X15" s="4"/>
      <c r="Y15" s="4"/>
    </row>
    <row r="16" spans="1:25" ht="33.75" customHeight="1">
      <c r="A16" s="4"/>
      <c r="B16" s="5"/>
      <c r="C16" s="7"/>
      <c r="D16" s="161"/>
      <c r="E16" s="4"/>
      <c r="F16" s="4"/>
      <c r="G16" s="4"/>
      <c r="H16" s="4"/>
      <c r="I16" s="4"/>
      <c r="J16" s="4"/>
      <c r="K16" s="4"/>
      <c r="L16" s="4"/>
      <c r="M16" s="4"/>
      <c r="N16" s="4"/>
      <c r="O16" s="4"/>
      <c r="P16" s="4"/>
      <c r="Q16" s="4"/>
      <c r="R16" s="4"/>
      <c r="S16" s="4"/>
      <c r="T16" s="4"/>
      <c r="U16" s="4"/>
      <c r="V16" s="4"/>
      <c r="W16" s="4"/>
      <c r="X16" s="4"/>
      <c r="Y16" s="4"/>
    </row>
    <row r="17" spans="1:25" ht="33.75" customHeight="1">
      <c r="A17" s="4"/>
      <c r="B17" s="5"/>
      <c r="C17" s="7"/>
      <c r="D17" s="161"/>
      <c r="E17" s="4"/>
      <c r="F17" s="4"/>
      <c r="G17" s="4"/>
      <c r="H17" s="4"/>
      <c r="I17" s="4"/>
      <c r="J17" s="4"/>
      <c r="K17" s="4"/>
      <c r="L17" s="4"/>
      <c r="M17" s="4"/>
      <c r="N17" s="4"/>
      <c r="O17" s="4"/>
      <c r="P17" s="4"/>
      <c r="Q17" s="4"/>
      <c r="R17" s="4"/>
      <c r="S17" s="4"/>
      <c r="T17" s="4"/>
      <c r="U17" s="4"/>
      <c r="V17" s="4"/>
      <c r="W17" s="4"/>
      <c r="X17" s="4"/>
      <c r="Y17" s="4"/>
    </row>
    <row r="18" spans="1:25" ht="33.75" customHeight="1">
      <c r="A18" s="4"/>
      <c r="B18" s="5"/>
      <c r="C18" s="7"/>
      <c r="D18" s="161"/>
      <c r="E18" s="4"/>
      <c r="F18" s="4"/>
      <c r="G18" s="4"/>
      <c r="H18" s="4"/>
      <c r="I18" s="4"/>
      <c r="J18" s="4"/>
      <c r="K18" s="4"/>
      <c r="L18" s="4"/>
      <c r="M18" s="4"/>
      <c r="N18" s="4"/>
      <c r="O18" s="4"/>
      <c r="P18" s="4"/>
      <c r="Q18" s="4"/>
      <c r="R18" s="4"/>
      <c r="S18" s="4"/>
      <c r="T18" s="4"/>
      <c r="U18" s="4"/>
      <c r="V18" s="4"/>
      <c r="W18" s="4"/>
      <c r="X18" s="4"/>
      <c r="Y18" s="4"/>
    </row>
    <row r="19" spans="1:25" ht="33.75" customHeight="1">
      <c r="A19" s="4"/>
      <c r="B19" s="5"/>
      <c r="C19" s="7"/>
      <c r="D19" s="161"/>
      <c r="E19" s="4"/>
      <c r="F19" s="4"/>
      <c r="G19" s="4"/>
      <c r="H19" s="4"/>
      <c r="I19" s="4"/>
      <c r="J19" s="4"/>
      <c r="K19" s="4"/>
      <c r="L19" s="4"/>
      <c r="M19" s="4"/>
      <c r="N19" s="4"/>
      <c r="O19" s="4"/>
      <c r="P19" s="4"/>
      <c r="Q19" s="4"/>
      <c r="R19" s="4"/>
      <c r="S19" s="4"/>
      <c r="T19" s="4"/>
      <c r="U19" s="4"/>
      <c r="V19" s="4"/>
      <c r="W19" s="4"/>
      <c r="X19" s="4"/>
      <c r="Y19" s="4"/>
    </row>
    <row r="20" spans="1:25" ht="33.75" customHeight="1">
      <c r="A20" s="4"/>
      <c r="B20" s="5"/>
      <c r="C20" s="7"/>
      <c r="D20" s="161"/>
      <c r="E20" s="4"/>
      <c r="F20" s="4"/>
      <c r="G20" s="4"/>
      <c r="H20" s="4"/>
      <c r="I20" s="4"/>
      <c r="J20" s="4"/>
      <c r="K20" s="4"/>
      <c r="L20" s="4"/>
      <c r="M20" s="4"/>
      <c r="N20" s="4"/>
      <c r="O20" s="4"/>
      <c r="P20" s="4"/>
      <c r="Q20" s="4"/>
      <c r="R20" s="4"/>
      <c r="S20" s="4"/>
      <c r="T20" s="4"/>
      <c r="U20" s="4"/>
      <c r="V20" s="4"/>
      <c r="W20" s="4"/>
      <c r="X20" s="4"/>
      <c r="Y20" s="4"/>
    </row>
    <row r="21" spans="1:25" ht="33.75" customHeight="1">
      <c r="A21" s="4"/>
      <c r="B21" s="5"/>
      <c r="C21" s="7"/>
      <c r="D21" s="161"/>
      <c r="E21" s="4"/>
      <c r="F21" s="4"/>
      <c r="G21" s="4"/>
      <c r="H21" s="4"/>
      <c r="I21" s="4"/>
      <c r="J21" s="4"/>
      <c r="K21" s="4"/>
      <c r="L21" s="4"/>
      <c r="M21" s="4"/>
      <c r="N21" s="4"/>
      <c r="O21" s="4"/>
      <c r="P21" s="4"/>
      <c r="Q21" s="4"/>
      <c r="R21" s="4"/>
      <c r="S21" s="4"/>
      <c r="T21" s="4"/>
      <c r="U21" s="4"/>
      <c r="V21" s="4"/>
      <c r="W21" s="4"/>
      <c r="X21" s="4"/>
      <c r="Y21" s="4"/>
    </row>
    <row r="22" spans="1:25" ht="33.75" customHeight="1">
      <c r="A22" s="4"/>
      <c r="B22" s="5"/>
      <c r="C22" s="7"/>
      <c r="D22" s="161"/>
      <c r="E22" s="4"/>
      <c r="F22" s="4"/>
      <c r="G22" s="4"/>
      <c r="H22" s="4"/>
      <c r="I22" s="4"/>
      <c r="J22" s="4"/>
      <c r="K22" s="4"/>
      <c r="L22" s="4"/>
      <c r="M22" s="4"/>
      <c r="N22" s="4"/>
      <c r="O22" s="4"/>
      <c r="P22" s="4"/>
      <c r="Q22" s="4"/>
      <c r="R22" s="4"/>
      <c r="S22" s="4"/>
      <c r="T22" s="4"/>
      <c r="U22" s="4"/>
      <c r="V22" s="4"/>
      <c r="W22" s="4"/>
      <c r="X22" s="4"/>
      <c r="Y22" s="4"/>
    </row>
    <row r="23" spans="1:25" ht="33.75" customHeight="1">
      <c r="A23" s="4"/>
      <c r="B23" s="5"/>
      <c r="C23" s="7"/>
      <c r="D23" s="161"/>
      <c r="E23" s="4"/>
      <c r="F23" s="4"/>
      <c r="G23" s="4"/>
      <c r="H23" s="4"/>
      <c r="I23" s="4"/>
      <c r="J23" s="4"/>
      <c r="K23" s="4"/>
      <c r="L23" s="4"/>
      <c r="M23" s="4"/>
      <c r="N23" s="4"/>
      <c r="O23" s="4"/>
      <c r="P23" s="4"/>
      <c r="Q23" s="4"/>
      <c r="R23" s="4"/>
      <c r="S23" s="4"/>
      <c r="T23" s="4"/>
      <c r="U23" s="4"/>
      <c r="V23" s="4"/>
      <c r="W23" s="4"/>
      <c r="X23" s="4"/>
      <c r="Y23" s="4"/>
    </row>
    <row r="24" spans="1:25" ht="33.75" customHeight="1">
      <c r="A24" s="4"/>
      <c r="B24" s="5"/>
      <c r="C24" s="7"/>
      <c r="D24" s="161"/>
      <c r="E24" s="4"/>
      <c r="F24" s="4"/>
      <c r="G24" s="4"/>
      <c r="H24" s="4"/>
      <c r="I24" s="4"/>
      <c r="J24" s="4"/>
      <c r="K24" s="4"/>
      <c r="L24" s="4"/>
      <c r="M24" s="4"/>
      <c r="N24" s="4"/>
      <c r="O24" s="4"/>
      <c r="P24" s="4"/>
      <c r="Q24" s="4"/>
      <c r="R24" s="4"/>
      <c r="S24" s="4"/>
      <c r="T24" s="4"/>
      <c r="U24" s="4"/>
      <c r="V24" s="4"/>
      <c r="W24" s="4"/>
      <c r="X24" s="4"/>
      <c r="Y24" s="4"/>
    </row>
    <row r="25" spans="1:25" ht="33.75" customHeight="1">
      <c r="A25" s="4"/>
      <c r="B25" s="5"/>
      <c r="C25" s="7"/>
      <c r="D25" s="161"/>
      <c r="E25" s="4"/>
      <c r="F25" s="4"/>
      <c r="G25" s="4"/>
      <c r="H25" s="4"/>
      <c r="I25" s="4"/>
      <c r="J25" s="4"/>
      <c r="K25" s="4"/>
      <c r="L25" s="4"/>
      <c r="M25" s="4"/>
      <c r="N25" s="4"/>
      <c r="O25" s="4"/>
      <c r="P25" s="4"/>
      <c r="Q25" s="4"/>
      <c r="R25" s="4"/>
      <c r="S25" s="4"/>
      <c r="T25" s="4"/>
      <c r="U25" s="4"/>
      <c r="V25" s="4"/>
      <c r="W25" s="4"/>
      <c r="X25" s="4"/>
      <c r="Y25" s="4"/>
    </row>
    <row r="26" spans="1:25" ht="33.75" customHeight="1">
      <c r="A26" s="4"/>
      <c r="B26" s="5"/>
      <c r="C26" s="7"/>
      <c r="D26" s="161"/>
      <c r="E26" s="4"/>
      <c r="F26" s="4"/>
      <c r="G26" s="4"/>
      <c r="H26" s="4"/>
      <c r="I26" s="4"/>
      <c r="J26" s="4"/>
      <c r="K26" s="4"/>
      <c r="L26" s="4"/>
      <c r="M26" s="4"/>
      <c r="N26" s="4"/>
      <c r="O26" s="4"/>
      <c r="P26" s="4"/>
      <c r="Q26" s="4"/>
      <c r="R26" s="4"/>
      <c r="S26" s="4"/>
      <c r="T26" s="4"/>
      <c r="U26" s="4"/>
      <c r="V26" s="4"/>
      <c r="W26" s="4"/>
      <c r="X26" s="4"/>
      <c r="Y26" s="4"/>
    </row>
    <row r="27" spans="1:25" ht="33.75" customHeight="1">
      <c r="A27" s="4"/>
      <c r="B27" s="5"/>
      <c r="C27" s="7"/>
      <c r="D27" s="161"/>
      <c r="E27" s="4"/>
      <c r="F27" s="4"/>
      <c r="G27" s="4"/>
      <c r="H27" s="4"/>
      <c r="I27" s="4"/>
      <c r="J27" s="4"/>
      <c r="K27" s="4"/>
      <c r="L27" s="4"/>
      <c r="M27" s="4"/>
      <c r="N27" s="4"/>
      <c r="O27" s="4"/>
      <c r="P27" s="4"/>
      <c r="Q27" s="4"/>
      <c r="R27" s="4"/>
      <c r="S27" s="4"/>
      <c r="T27" s="4"/>
      <c r="U27" s="4"/>
      <c r="V27" s="4"/>
      <c r="W27" s="4"/>
      <c r="X27" s="4"/>
      <c r="Y27" s="4"/>
    </row>
    <row r="28" spans="1:25" ht="33.75" customHeight="1">
      <c r="A28" s="4"/>
      <c r="B28" s="5"/>
      <c r="C28" s="7"/>
      <c r="D28" s="161"/>
      <c r="E28" s="4"/>
      <c r="F28" s="4"/>
      <c r="G28" s="4"/>
      <c r="H28" s="4"/>
      <c r="I28" s="4"/>
      <c r="J28" s="4"/>
      <c r="K28" s="4"/>
      <c r="L28" s="4"/>
      <c r="M28" s="4"/>
      <c r="N28" s="4"/>
      <c r="O28" s="4"/>
      <c r="P28" s="4"/>
      <c r="Q28" s="4"/>
      <c r="R28" s="4"/>
      <c r="S28" s="4"/>
      <c r="T28" s="4"/>
      <c r="U28" s="4"/>
      <c r="V28" s="4"/>
      <c r="W28" s="4"/>
      <c r="X28" s="4"/>
      <c r="Y28" s="4"/>
    </row>
    <row r="29" spans="1:25" ht="33.75" customHeight="1">
      <c r="A29" s="4"/>
      <c r="B29" s="5"/>
      <c r="C29" s="7"/>
      <c r="D29" s="161"/>
      <c r="E29" s="4"/>
      <c r="F29" s="4"/>
      <c r="G29" s="4"/>
      <c r="H29" s="4"/>
      <c r="I29" s="4"/>
      <c r="J29" s="4"/>
      <c r="K29" s="4"/>
      <c r="L29" s="4"/>
      <c r="M29" s="4"/>
      <c r="N29" s="4"/>
      <c r="O29" s="4"/>
      <c r="P29" s="4"/>
      <c r="Q29" s="4"/>
      <c r="R29" s="4"/>
      <c r="S29" s="4"/>
      <c r="T29" s="4"/>
      <c r="U29" s="4"/>
      <c r="V29" s="4"/>
      <c r="W29" s="4"/>
      <c r="X29" s="4"/>
      <c r="Y29" s="4"/>
    </row>
    <row r="30" spans="1:25" ht="33.75" customHeight="1">
      <c r="A30" s="4"/>
      <c r="B30" s="5"/>
      <c r="C30" s="7"/>
      <c r="D30" s="161"/>
      <c r="E30" s="4"/>
      <c r="F30" s="4"/>
      <c r="G30" s="4"/>
      <c r="H30" s="4"/>
      <c r="I30" s="4"/>
      <c r="J30" s="4"/>
      <c r="K30" s="4"/>
      <c r="L30" s="4"/>
      <c r="M30" s="4"/>
      <c r="N30" s="4"/>
      <c r="O30" s="4"/>
      <c r="P30" s="4"/>
      <c r="Q30" s="4"/>
      <c r="R30" s="4"/>
      <c r="S30" s="4"/>
      <c r="T30" s="4"/>
      <c r="U30" s="4"/>
      <c r="V30" s="4"/>
      <c r="W30" s="4"/>
      <c r="X30" s="4"/>
      <c r="Y30" s="4"/>
    </row>
    <row r="31" spans="1:25" ht="33.75" customHeight="1">
      <c r="A31" s="4"/>
      <c r="B31" s="5"/>
      <c r="C31" s="7"/>
      <c r="D31" s="161"/>
      <c r="E31" s="4"/>
      <c r="F31" s="4"/>
      <c r="G31" s="4"/>
      <c r="H31" s="4"/>
      <c r="I31" s="4"/>
      <c r="J31" s="4"/>
      <c r="K31" s="4"/>
      <c r="L31" s="4"/>
      <c r="M31" s="4"/>
      <c r="N31" s="4"/>
      <c r="O31" s="4"/>
      <c r="P31" s="4"/>
      <c r="Q31" s="4"/>
      <c r="R31" s="4"/>
      <c r="S31" s="4"/>
      <c r="T31" s="4"/>
      <c r="U31" s="4"/>
      <c r="V31" s="4"/>
      <c r="W31" s="4"/>
      <c r="X31" s="4"/>
      <c r="Y31" s="4"/>
    </row>
    <row r="32" spans="1:25" ht="33.75" customHeight="1">
      <c r="A32" s="4"/>
      <c r="B32" s="5"/>
      <c r="C32" s="7"/>
      <c r="D32" s="161"/>
      <c r="E32" s="4"/>
      <c r="F32" s="4"/>
      <c r="G32" s="4"/>
      <c r="H32" s="4"/>
      <c r="I32" s="4"/>
      <c r="J32" s="4"/>
      <c r="K32" s="4"/>
      <c r="L32" s="4"/>
      <c r="M32" s="4"/>
      <c r="N32" s="4"/>
      <c r="O32" s="4"/>
      <c r="P32" s="4"/>
      <c r="Q32" s="4"/>
      <c r="R32" s="4"/>
      <c r="S32" s="4"/>
      <c r="T32" s="4"/>
      <c r="U32" s="4"/>
      <c r="V32" s="4"/>
      <c r="W32" s="4"/>
      <c r="X32" s="4"/>
      <c r="Y32" s="4"/>
    </row>
    <row r="33" spans="1:25" ht="33.75" customHeight="1">
      <c r="A33" s="4"/>
      <c r="B33" s="5"/>
      <c r="C33" s="7"/>
      <c r="D33" s="161"/>
      <c r="E33" s="4"/>
      <c r="F33" s="4"/>
      <c r="G33" s="4"/>
      <c r="H33" s="4"/>
      <c r="I33" s="4"/>
      <c r="J33" s="4"/>
      <c r="K33" s="4"/>
      <c r="L33" s="4"/>
      <c r="M33" s="4"/>
      <c r="N33" s="4"/>
      <c r="O33" s="4"/>
      <c r="P33" s="4"/>
      <c r="Q33" s="4"/>
      <c r="R33" s="4"/>
      <c r="S33" s="4"/>
      <c r="T33" s="4"/>
      <c r="U33" s="4"/>
      <c r="V33" s="4"/>
      <c r="W33" s="4"/>
      <c r="X33" s="4"/>
      <c r="Y33" s="4"/>
    </row>
    <row r="34" spans="1:25" ht="33.75" customHeight="1">
      <c r="A34" s="4"/>
      <c r="B34" s="5"/>
      <c r="C34" s="7"/>
      <c r="D34" s="161"/>
      <c r="E34" s="4"/>
      <c r="F34" s="4"/>
      <c r="G34" s="4"/>
      <c r="H34" s="4"/>
      <c r="I34" s="4"/>
      <c r="J34" s="4"/>
      <c r="K34" s="4"/>
      <c r="L34" s="4"/>
      <c r="M34" s="4"/>
      <c r="N34" s="4"/>
      <c r="O34" s="4"/>
      <c r="P34" s="4"/>
      <c r="Q34" s="4"/>
      <c r="R34" s="4"/>
      <c r="S34" s="4"/>
      <c r="T34" s="4"/>
      <c r="U34" s="4"/>
      <c r="V34" s="4"/>
      <c r="W34" s="4"/>
      <c r="X34" s="4"/>
      <c r="Y34" s="4"/>
    </row>
    <row r="35" spans="1:25" ht="33.75" customHeight="1">
      <c r="A35" s="4"/>
      <c r="B35" s="5"/>
      <c r="C35" s="7"/>
      <c r="D35" s="161"/>
      <c r="E35" s="4"/>
      <c r="F35" s="4"/>
      <c r="G35" s="4"/>
      <c r="H35" s="4"/>
      <c r="I35" s="4"/>
      <c r="J35" s="4"/>
      <c r="K35" s="4"/>
      <c r="L35" s="4"/>
      <c r="M35" s="4"/>
      <c r="N35" s="4"/>
      <c r="O35" s="4"/>
      <c r="P35" s="4"/>
      <c r="Q35" s="4"/>
      <c r="R35" s="4"/>
      <c r="S35" s="4"/>
      <c r="T35" s="4"/>
      <c r="U35" s="4"/>
      <c r="V35" s="4"/>
      <c r="W35" s="4"/>
      <c r="X35" s="4"/>
      <c r="Y35" s="4"/>
    </row>
    <row r="36" spans="1:25" ht="33.75" customHeight="1">
      <c r="A36" s="4"/>
      <c r="B36" s="5"/>
      <c r="C36" s="7"/>
      <c r="D36" s="161"/>
      <c r="E36" s="4"/>
      <c r="F36" s="4"/>
      <c r="G36" s="4"/>
      <c r="H36" s="4"/>
      <c r="I36" s="4"/>
      <c r="J36" s="4"/>
      <c r="K36" s="4"/>
      <c r="L36" s="4"/>
      <c r="M36" s="4"/>
      <c r="N36" s="4"/>
      <c r="O36" s="4"/>
      <c r="P36" s="4"/>
      <c r="Q36" s="4"/>
      <c r="R36" s="4"/>
      <c r="S36" s="4"/>
      <c r="T36" s="4"/>
      <c r="U36" s="4"/>
      <c r="V36" s="4"/>
      <c r="W36" s="4"/>
      <c r="X36" s="4"/>
      <c r="Y36" s="4"/>
    </row>
    <row r="37" spans="1:25" ht="33.75" customHeight="1">
      <c r="A37" s="4"/>
      <c r="B37" s="5"/>
      <c r="C37" s="7"/>
      <c r="D37" s="161"/>
      <c r="E37" s="4"/>
      <c r="F37" s="4"/>
      <c r="G37" s="4"/>
      <c r="H37" s="4"/>
      <c r="I37" s="4"/>
      <c r="J37" s="4"/>
      <c r="K37" s="4"/>
      <c r="L37" s="4"/>
      <c r="M37" s="4"/>
      <c r="N37" s="4"/>
      <c r="O37" s="4"/>
      <c r="P37" s="4"/>
      <c r="Q37" s="4"/>
      <c r="R37" s="4"/>
      <c r="S37" s="4"/>
      <c r="T37" s="4"/>
      <c r="U37" s="4"/>
      <c r="V37" s="4"/>
      <c r="W37" s="4"/>
      <c r="X37" s="4"/>
      <c r="Y37" s="4"/>
    </row>
    <row r="38" spans="1:25" ht="33.75" customHeight="1">
      <c r="A38" s="4"/>
      <c r="B38" s="5"/>
      <c r="C38" s="7"/>
      <c r="D38" s="161"/>
      <c r="E38" s="4"/>
      <c r="F38" s="4"/>
      <c r="G38" s="4"/>
      <c r="H38" s="4"/>
      <c r="I38" s="4"/>
      <c r="J38" s="4"/>
      <c r="K38" s="4"/>
      <c r="L38" s="4"/>
      <c r="M38" s="4"/>
      <c r="N38" s="4"/>
      <c r="O38" s="4"/>
      <c r="P38" s="4"/>
      <c r="Q38" s="4"/>
      <c r="R38" s="4"/>
      <c r="S38" s="4"/>
      <c r="T38" s="4"/>
      <c r="U38" s="4"/>
      <c r="V38" s="4"/>
      <c r="W38" s="4"/>
      <c r="X38" s="4"/>
      <c r="Y38" s="4"/>
    </row>
    <row r="39" spans="1:25" ht="33.75" customHeight="1">
      <c r="A39" s="4"/>
      <c r="B39" s="5"/>
      <c r="C39" s="7"/>
      <c r="D39" s="161"/>
      <c r="E39" s="4"/>
      <c r="F39" s="4"/>
      <c r="G39" s="4"/>
      <c r="H39" s="4"/>
      <c r="I39" s="4"/>
      <c r="J39" s="4"/>
      <c r="K39" s="4"/>
      <c r="L39" s="4"/>
      <c r="M39" s="4"/>
      <c r="N39" s="4"/>
      <c r="O39" s="4"/>
      <c r="P39" s="4"/>
      <c r="Q39" s="4"/>
      <c r="R39" s="4"/>
      <c r="S39" s="4"/>
      <c r="T39" s="4"/>
      <c r="U39" s="4"/>
      <c r="V39" s="4"/>
      <c r="W39" s="4"/>
      <c r="X39" s="4"/>
      <c r="Y39" s="4"/>
    </row>
    <row r="40" spans="1:25" ht="33.75" customHeight="1">
      <c r="A40" s="4"/>
      <c r="B40" s="5"/>
      <c r="C40" s="7"/>
      <c r="D40" s="161"/>
      <c r="E40" s="4"/>
      <c r="F40" s="4"/>
      <c r="G40" s="4"/>
      <c r="H40" s="4"/>
      <c r="I40" s="4"/>
      <c r="J40" s="4"/>
      <c r="K40" s="4"/>
      <c r="L40" s="4"/>
      <c r="M40" s="4"/>
      <c r="N40" s="4"/>
      <c r="O40" s="4"/>
      <c r="P40" s="4"/>
      <c r="Q40" s="4"/>
      <c r="R40" s="4"/>
      <c r="S40" s="4"/>
      <c r="T40" s="4"/>
      <c r="U40" s="4"/>
      <c r="V40" s="4"/>
      <c r="W40" s="4"/>
      <c r="X40" s="4"/>
      <c r="Y40" s="4"/>
    </row>
    <row r="41" spans="1:25" ht="33.75" customHeight="1">
      <c r="A41" s="4"/>
      <c r="B41" s="5"/>
      <c r="C41" s="7"/>
      <c r="D41" s="161"/>
      <c r="E41" s="4"/>
      <c r="F41" s="4"/>
      <c r="G41" s="4"/>
      <c r="H41" s="4"/>
      <c r="I41" s="4"/>
      <c r="J41" s="4"/>
      <c r="K41" s="4"/>
      <c r="L41" s="4"/>
      <c r="M41" s="4"/>
      <c r="N41" s="4"/>
      <c r="O41" s="4"/>
      <c r="P41" s="4"/>
      <c r="Q41" s="4"/>
      <c r="R41" s="4"/>
      <c r="S41" s="4"/>
      <c r="T41" s="4"/>
      <c r="U41" s="4"/>
      <c r="V41" s="4"/>
      <c r="W41" s="4"/>
      <c r="X41" s="4"/>
      <c r="Y41" s="4"/>
    </row>
    <row r="42" spans="1:25" ht="33.75" customHeight="1">
      <c r="A42" s="4"/>
      <c r="B42" s="5"/>
      <c r="C42" s="7"/>
      <c r="D42" s="161"/>
      <c r="E42" s="4"/>
      <c r="F42" s="4"/>
      <c r="G42" s="4"/>
      <c r="H42" s="4"/>
      <c r="I42" s="4"/>
      <c r="J42" s="4"/>
      <c r="K42" s="4"/>
      <c r="L42" s="4"/>
      <c r="M42" s="4"/>
      <c r="N42" s="4"/>
      <c r="O42" s="4"/>
      <c r="P42" s="4"/>
      <c r="Q42" s="4"/>
      <c r="R42" s="4"/>
      <c r="S42" s="4"/>
      <c r="T42" s="4"/>
      <c r="U42" s="4"/>
      <c r="V42" s="4"/>
      <c r="W42" s="4"/>
      <c r="X42" s="4"/>
      <c r="Y42" s="4"/>
    </row>
    <row r="43" spans="1:25" ht="33.75" customHeight="1">
      <c r="A43" s="4"/>
      <c r="B43" s="5"/>
      <c r="C43" s="7"/>
      <c r="D43" s="161"/>
      <c r="E43" s="4"/>
      <c r="F43" s="4"/>
      <c r="G43" s="4"/>
      <c r="H43" s="4"/>
      <c r="I43" s="4"/>
      <c r="J43" s="4"/>
      <c r="K43" s="4"/>
      <c r="L43" s="4"/>
      <c r="M43" s="4"/>
      <c r="N43" s="4"/>
      <c r="O43" s="4"/>
      <c r="P43" s="4"/>
      <c r="Q43" s="4"/>
      <c r="R43" s="4"/>
      <c r="S43" s="4"/>
      <c r="T43" s="4"/>
      <c r="U43" s="4"/>
      <c r="V43" s="4"/>
      <c r="W43" s="4"/>
      <c r="X43" s="4"/>
      <c r="Y43" s="4"/>
    </row>
    <row r="44" spans="1:25" ht="33.75" customHeight="1">
      <c r="A44" s="4"/>
      <c r="B44" s="5"/>
      <c r="C44" s="7"/>
      <c r="D44" s="161"/>
      <c r="E44" s="4"/>
      <c r="F44" s="4"/>
      <c r="G44" s="4"/>
      <c r="H44" s="4"/>
      <c r="I44" s="4"/>
      <c r="J44" s="4"/>
      <c r="K44" s="4"/>
      <c r="L44" s="4"/>
      <c r="M44" s="4"/>
      <c r="N44" s="4"/>
      <c r="O44" s="4"/>
      <c r="P44" s="4"/>
      <c r="Q44" s="4"/>
      <c r="R44" s="4"/>
      <c r="S44" s="4"/>
      <c r="T44" s="4"/>
      <c r="U44" s="4"/>
      <c r="V44" s="4"/>
      <c r="W44" s="4"/>
      <c r="X44" s="4"/>
      <c r="Y44" s="4"/>
    </row>
    <row r="45" spans="1:25" ht="33.75" customHeight="1">
      <c r="A45" s="4"/>
      <c r="B45" s="5"/>
      <c r="C45" s="7"/>
      <c r="D45" s="161"/>
      <c r="E45" s="4"/>
      <c r="F45" s="4"/>
      <c r="G45" s="4"/>
      <c r="H45" s="4"/>
      <c r="I45" s="4"/>
      <c r="J45" s="4"/>
      <c r="K45" s="4"/>
      <c r="L45" s="4"/>
      <c r="M45" s="4"/>
      <c r="N45" s="4"/>
      <c r="O45" s="4"/>
      <c r="P45" s="4"/>
      <c r="Q45" s="4"/>
      <c r="R45" s="4"/>
      <c r="S45" s="4"/>
      <c r="T45" s="4"/>
      <c r="U45" s="4"/>
      <c r="V45" s="4"/>
      <c r="W45" s="4"/>
      <c r="X45" s="4"/>
      <c r="Y45" s="4"/>
    </row>
    <row r="46" spans="1:25" ht="33.75" customHeight="1">
      <c r="A46" s="4"/>
      <c r="B46" s="5"/>
      <c r="C46" s="7"/>
      <c r="D46" s="161"/>
      <c r="E46" s="4"/>
      <c r="F46" s="4"/>
      <c r="G46" s="4"/>
      <c r="H46" s="4"/>
      <c r="I46" s="4"/>
      <c r="J46" s="4"/>
      <c r="K46" s="4"/>
      <c r="L46" s="4"/>
      <c r="M46" s="4"/>
      <c r="N46" s="4"/>
      <c r="O46" s="4"/>
      <c r="P46" s="4"/>
      <c r="Q46" s="4"/>
      <c r="R46" s="4"/>
      <c r="S46" s="4"/>
      <c r="T46" s="4"/>
      <c r="U46" s="4"/>
      <c r="V46" s="4"/>
      <c r="W46" s="4"/>
      <c r="X46" s="4"/>
      <c r="Y46" s="4"/>
    </row>
    <row r="47" spans="1:25" ht="33.75" customHeight="1">
      <c r="A47" s="4"/>
      <c r="B47" s="5"/>
      <c r="C47" s="7"/>
      <c r="D47" s="161"/>
      <c r="E47" s="4"/>
      <c r="F47" s="4"/>
      <c r="G47" s="4"/>
      <c r="H47" s="4"/>
      <c r="I47" s="4"/>
      <c r="J47" s="4"/>
      <c r="K47" s="4"/>
      <c r="L47" s="4"/>
      <c r="M47" s="4"/>
      <c r="N47" s="4"/>
      <c r="O47" s="4"/>
      <c r="P47" s="4"/>
      <c r="Q47" s="4"/>
      <c r="R47" s="4"/>
      <c r="S47" s="4"/>
      <c r="T47" s="4"/>
      <c r="U47" s="4"/>
      <c r="V47" s="4"/>
      <c r="W47" s="4"/>
      <c r="X47" s="4"/>
      <c r="Y47" s="4"/>
    </row>
    <row r="48" spans="1:25" ht="33.75" customHeight="1">
      <c r="A48" s="4"/>
      <c r="B48" s="5"/>
      <c r="C48" s="7"/>
      <c r="D48" s="161"/>
      <c r="E48" s="4"/>
      <c r="F48" s="4"/>
      <c r="G48" s="4"/>
      <c r="H48" s="4"/>
      <c r="I48" s="4"/>
      <c r="J48" s="4"/>
      <c r="K48" s="4"/>
      <c r="L48" s="4"/>
      <c r="M48" s="4"/>
      <c r="N48" s="4"/>
      <c r="O48" s="4"/>
      <c r="P48" s="4"/>
      <c r="Q48" s="4"/>
      <c r="R48" s="4"/>
      <c r="S48" s="4"/>
      <c r="T48" s="4"/>
      <c r="U48" s="4"/>
      <c r="V48" s="4"/>
      <c r="W48" s="4"/>
      <c r="X48" s="4"/>
      <c r="Y48" s="4"/>
    </row>
    <row r="49" spans="1:25" ht="33.75" customHeight="1">
      <c r="A49" s="4"/>
      <c r="B49" s="5"/>
      <c r="C49" s="7"/>
      <c r="D49" s="161"/>
      <c r="E49" s="4"/>
      <c r="F49" s="4"/>
      <c r="G49" s="4"/>
      <c r="H49" s="4"/>
      <c r="I49" s="4"/>
      <c r="J49" s="4"/>
      <c r="K49" s="4"/>
      <c r="L49" s="4"/>
      <c r="M49" s="4"/>
      <c r="N49" s="4"/>
      <c r="O49" s="4"/>
      <c r="P49" s="4"/>
      <c r="Q49" s="4"/>
      <c r="R49" s="4"/>
      <c r="S49" s="4"/>
      <c r="T49" s="4"/>
      <c r="U49" s="4"/>
      <c r="V49" s="4"/>
      <c r="W49" s="4"/>
      <c r="X49" s="4"/>
      <c r="Y49" s="4"/>
    </row>
    <row r="50" spans="1:25" ht="33.75" customHeight="1">
      <c r="A50" s="4"/>
      <c r="B50" s="5"/>
      <c r="C50" s="7"/>
      <c r="D50" s="161"/>
      <c r="E50" s="4"/>
      <c r="F50" s="4"/>
      <c r="G50" s="4"/>
      <c r="H50" s="4"/>
      <c r="I50" s="4"/>
      <c r="J50" s="4"/>
      <c r="K50" s="4"/>
      <c r="L50" s="4"/>
      <c r="M50" s="4"/>
      <c r="N50" s="4"/>
      <c r="O50" s="4"/>
      <c r="P50" s="4"/>
      <c r="Q50" s="4"/>
      <c r="R50" s="4"/>
      <c r="S50" s="4"/>
      <c r="T50" s="4"/>
      <c r="U50" s="4"/>
      <c r="V50" s="4"/>
      <c r="W50" s="4"/>
      <c r="X50" s="4"/>
      <c r="Y50" s="4"/>
    </row>
    <row r="51" spans="1:25" ht="33.75" customHeight="1">
      <c r="A51" s="4"/>
      <c r="B51" s="5"/>
      <c r="C51" s="7"/>
      <c r="D51" s="161"/>
      <c r="E51" s="4"/>
      <c r="F51" s="4"/>
      <c r="G51" s="4"/>
      <c r="H51" s="4"/>
      <c r="I51" s="4"/>
      <c r="J51" s="4"/>
      <c r="K51" s="4"/>
      <c r="L51" s="4"/>
      <c r="M51" s="4"/>
      <c r="N51" s="4"/>
      <c r="O51" s="4"/>
      <c r="P51" s="4"/>
      <c r="Q51" s="4"/>
      <c r="R51" s="4"/>
      <c r="S51" s="4"/>
      <c r="T51" s="4"/>
      <c r="U51" s="4"/>
      <c r="V51" s="4"/>
      <c r="W51" s="4"/>
      <c r="X51" s="4"/>
      <c r="Y51" s="4"/>
    </row>
    <row r="52" spans="1:25" ht="33.75" customHeight="1">
      <c r="A52" s="4"/>
      <c r="B52" s="5"/>
      <c r="C52" s="7"/>
      <c r="D52" s="161"/>
      <c r="E52" s="4"/>
      <c r="F52" s="4"/>
      <c r="G52" s="4"/>
      <c r="H52" s="4"/>
      <c r="I52" s="4"/>
      <c r="J52" s="4"/>
      <c r="K52" s="4"/>
      <c r="L52" s="4"/>
      <c r="M52" s="4"/>
      <c r="N52" s="4"/>
      <c r="O52" s="4"/>
      <c r="P52" s="4"/>
      <c r="Q52" s="4"/>
      <c r="R52" s="4"/>
      <c r="S52" s="4"/>
      <c r="T52" s="4"/>
      <c r="U52" s="4"/>
      <c r="V52" s="4"/>
      <c r="W52" s="4"/>
      <c r="X52" s="4"/>
      <c r="Y52" s="4"/>
    </row>
    <row r="53" spans="1:25" ht="33.75" customHeight="1">
      <c r="A53" s="4"/>
      <c r="B53" s="5"/>
      <c r="C53" s="7"/>
      <c r="D53" s="161"/>
      <c r="E53" s="4"/>
      <c r="F53" s="4"/>
      <c r="G53" s="4"/>
      <c r="H53" s="4"/>
      <c r="I53" s="4"/>
      <c r="J53" s="4"/>
      <c r="K53" s="4"/>
      <c r="L53" s="4"/>
      <c r="M53" s="4"/>
      <c r="N53" s="4"/>
      <c r="O53" s="4"/>
      <c r="P53" s="4"/>
      <c r="Q53" s="4"/>
      <c r="R53" s="4"/>
      <c r="S53" s="4"/>
      <c r="T53" s="4"/>
      <c r="U53" s="4"/>
      <c r="V53" s="4"/>
      <c r="W53" s="4"/>
      <c r="X53" s="4"/>
      <c r="Y53" s="4"/>
    </row>
    <row r="54" spans="1:25" ht="33.75" customHeight="1">
      <c r="A54" s="4"/>
      <c r="B54" s="5"/>
      <c r="C54" s="7"/>
      <c r="D54" s="161"/>
      <c r="E54" s="4"/>
      <c r="F54" s="4"/>
      <c r="G54" s="4"/>
      <c r="H54" s="4"/>
      <c r="I54" s="4"/>
      <c r="J54" s="4"/>
      <c r="K54" s="4"/>
      <c r="L54" s="4"/>
      <c r="M54" s="4"/>
      <c r="N54" s="4"/>
      <c r="O54" s="4"/>
      <c r="P54" s="4"/>
      <c r="Q54" s="4"/>
      <c r="R54" s="4"/>
      <c r="S54" s="4"/>
      <c r="T54" s="4"/>
      <c r="U54" s="4"/>
      <c r="V54" s="4"/>
      <c r="W54" s="4"/>
      <c r="X54" s="4"/>
      <c r="Y54" s="4"/>
    </row>
    <row r="55" spans="1:25" ht="33.75" customHeight="1">
      <c r="A55" s="4"/>
      <c r="B55" s="5"/>
      <c r="C55" s="7"/>
      <c r="D55" s="161"/>
      <c r="E55" s="4"/>
      <c r="F55" s="4"/>
      <c r="G55" s="4"/>
      <c r="H55" s="4"/>
      <c r="I55" s="4"/>
      <c r="J55" s="4"/>
      <c r="K55" s="4"/>
      <c r="L55" s="4"/>
      <c r="M55" s="4"/>
      <c r="N55" s="4"/>
      <c r="O55" s="4"/>
      <c r="P55" s="4"/>
      <c r="Q55" s="4"/>
      <c r="R55" s="4"/>
      <c r="S55" s="4"/>
      <c r="T55" s="4"/>
      <c r="U55" s="4"/>
      <c r="V55" s="4"/>
      <c r="W55" s="4"/>
      <c r="X55" s="4"/>
      <c r="Y55" s="4"/>
    </row>
    <row r="56" spans="1:25" ht="33.75" customHeight="1">
      <c r="A56" s="4"/>
      <c r="B56" s="5"/>
      <c r="C56" s="7"/>
      <c r="D56" s="161"/>
      <c r="E56" s="4"/>
      <c r="F56" s="4"/>
      <c r="G56" s="4"/>
      <c r="H56" s="4"/>
      <c r="I56" s="4"/>
      <c r="J56" s="4"/>
      <c r="K56" s="4"/>
      <c r="L56" s="4"/>
      <c r="M56" s="4"/>
      <c r="N56" s="4"/>
      <c r="O56" s="4"/>
      <c r="P56" s="4"/>
      <c r="Q56" s="4"/>
      <c r="R56" s="4"/>
      <c r="S56" s="4"/>
      <c r="T56" s="4"/>
      <c r="U56" s="4"/>
      <c r="V56" s="4"/>
      <c r="W56" s="4"/>
      <c r="X56" s="4"/>
      <c r="Y56" s="4"/>
    </row>
    <row r="57" spans="1:25" ht="33.75" customHeight="1">
      <c r="A57" s="4"/>
      <c r="B57" s="5"/>
      <c r="C57" s="7"/>
      <c r="D57" s="161"/>
      <c r="E57" s="4"/>
      <c r="F57" s="4"/>
      <c r="G57" s="4"/>
      <c r="H57" s="4"/>
      <c r="I57" s="4"/>
      <c r="J57" s="4"/>
      <c r="K57" s="4"/>
      <c r="L57" s="4"/>
      <c r="M57" s="4"/>
      <c r="N57" s="4"/>
      <c r="O57" s="4"/>
      <c r="P57" s="4"/>
      <c r="Q57" s="4"/>
      <c r="R57" s="4"/>
      <c r="S57" s="4"/>
      <c r="T57" s="4"/>
      <c r="U57" s="4"/>
      <c r="V57" s="4"/>
      <c r="W57" s="4"/>
      <c r="X57" s="4"/>
      <c r="Y57" s="4"/>
    </row>
    <row r="58" spans="1:25" ht="33.75" customHeight="1">
      <c r="A58" s="4"/>
      <c r="B58" s="5"/>
      <c r="C58" s="7"/>
      <c r="D58" s="161"/>
      <c r="E58" s="4"/>
      <c r="F58" s="4"/>
      <c r="G58" s="4"/>
      <c r="H58" s="4"/>
      <c r="I58" s="4"/>
      <c r="J58" s="4"/>
      <c r="K58" s="4"/>
      <c r="L58" s="4"/>
      <c r="M58" s="4"/>
      <c r="N58" s="4"/>
      <c r="O58" s="4"/>
      <c r="P58" s="4"/>
      <c r="Q58" s="4"/>
      <c r="R58" s="4"/>
      <c r="S58" s="4"/>
      <c r="T58" s="4"/>
      <c r="U58" s="4"/>
      <c r="V58" s="4"/>
      <c r="W58" s="4"/>
      <c r="X58" s="4"/>
      <c r="Y58" s="4"/>
    </row>
    <row r="59" spans="1:25" ht="33.75" customHeight="1">
      <c r="A59" s="4"/>
      <c r="B59" s="5"/>
      <c r="C59" s="7"/>
      <c r="D59" s="161"/>
      <c r="E59" s="4"/>
      <c r="F59" s="4"/>
      <c r="G59" s="4"/>
      <c r="H59" s="4"/>
      <c r="I59" s="4"/>
      <c r="J59" s="4"/>
      <c r="K59" s="4"/>
      <c r="L59" s="4"/>
      <c r="M59" s="4"/>
      <c r="N59" s="4"/>
      <c r="O59" s="4"/>
      <c r="P59" s="4"/>
      <c r="Q59" s="4"/>
      <c r="R59" s="4"/>
      <c r="S59" s="4"/>
      <c r="T59" s="4"/>
      <c r="U59" s="4"/>
      <c r="V59" s="4"/>
      <c r="W59" s="4"/>
      <c r="X59" s="4"/>
      <c r="Y59" s="4"/>
    </row>
    <row r="60" spans="1:25" ht="33.75" customHeight="1">
      <c r="A60" s="4"/>
      <c r="B60" s="5"/>
      <c r="C60" s="7"/>
      <c r="D60" s="161"/>
      <c r="E60" s="4"/>
      <c r="F60" s="4"/>
      <c r="G60" s="4"/>
      <c r="H60" s="4"/>
      <c r="I60" s="4"/>
      <c r="J60" s="4"/>
      <c r="K60" s="4"/>
      <c r="L60" s="4"/>
      <c r="M60" s="4"/>
      <c r="N60" s="4"/>
      <c r="O60" s="4"/>
      <c r="P60" s="4"/>
      <c r="Q60" s="4"/>
      <c r="R60" s="4"/>
      <c r="S60" s="4"/>
      <c r="T60" s="4"/>
      <c r="U60" s="4"/>
      <c r="V60" s="4"/>
      <c r="W60" s="4"/>
      <c r="X60" s="4"/>
      <c r="Y60" s="4"/>
    </row>
    <row r="61" spans="1:25" ht="33.75" customHeight="1">
      <c r="A61" s="4"/>
      <c r="B61" s="5"/>
      <c r="C61" s="7"/>
      <c r="D61" s="161"/>
      <c r="E61" s="4"/>
      <c r="F61" s="4"/>
      <c r="G61" s="4"/>
      <c r="H61" s="4"/>
      <c r="I61" s="4"/>
      <c r="J61" s="4"/>
      <c r="K61" s="4"/>
      <c r="L61" s="4"/>
      <c r="M61" s="4"/>
      <c r="N61" s="4"/>
      <c r="O61" s="4"/>
      <c r="P61" s="4"/>
      <c r="Q61" s="4"/>
      <c r="R61" s="4"/>
      <c r="S61" s="4"/>
      <c r="T61" s="4"/>
      <c r="U61" s="4"/>
      <c r="V61" s="4"/>
      <c r="W61" s="4"/>
      <c r="X61" s="4"/>
      <c r="Y61" s="4"/>
    </row>
    <row r="62" spans="1:25" ht="33.75" customHeight="1">
      <c r="A62" s="4"/>
      <c r="B62" s="5"/>
      <c r="C62" s="7"/>
      <c r="D62" s="161"/>
      <c r="E62" s="4"/>
      <c r="F62" s="4"/>
      <c r="G62" s="4"/>
      <c r="H62" s="4"/>
      <c r="I62" s="4"/>
      <c r="J62" s="4"/>
      <c r="K62" s="4"/>
      <c r="L62" s="4"/>
      <c r="M62" s="4"/>
      <c r="N62" s="4"/>
      <c r="O62" s="4"/>
      <c r="P62" s="4"/>
      <c r="Q62" s="4"/>
      <c r="R62" s="4"/>
      <c r="S62" s="4"/>
      <c r="T62" s="4"/>
      <c r="U62" s="4"/>
      <c r="V62" s="4"/>
      <c r="W62" s="4"/>
      <c r="X62" s="4"/>
      <c r="Y62" s="4"/>
    </row>
    <row r="63" spans="1:25" ht="33.75" customHeight="1">
      <c r="A63" s="4"/>
      <c r="B63" s="5"/>
      <c r="C63" s="7"/>
      <c r="D63" s="161"/>
      <c r="E63" s="4"/>
      <c r="F63" s="4"/>
      <c r="G63" s="4"/>
      <c r="H63" s="4"/>
      <c r="I63" s="4"/>
      <c r="J63" s="4"/>
      <c r="K63" s="4"/>
      <c r="L63" s="4"/>
      <c r="M63" s="4"/>
      <c r="N63" s="4"/>
      <c r="O63" s="4"/>
      <c r="P63" s="4"/>
      <c r="Q63" s="4"/>
      <c r="R63" s="4"/>
      <c r="S63" s="4"/>
      <c r="T63" s="4"/>
      <c r="U63" s="4"/>
      <c r="V63" s="4"/>
      <c r="W63" s="4"/>
      <c r="X63" s="4"/>
      <c r="Y63" s="4"/>
    </row>
    <row r="64" spans="1:25" ht="33.75" customHeight="1">
      <c r="A64" s="4"/>
      <c r="B64" s="5"/>
      <c r="C64" s="7"/>
      <c r="D64" s="161"/>
      <c r="E64" s="4"/>
      <c r="F64" s="4"/>
      <c r="G64" s="4"/>
      <c r="H64" s="4"/>
      <c r="I64" s="4"/>
      <c r="J64" s="4"/>
      <c r="K64" s="4"/>
      <c r="L64" s="4"/>
      <c r="M64" s="4"/>
      <c r="N64" s="4"/>
      <c r="O64" s="4"/>
      <c r="P64" s="4"/>
      <c r="Q64" s="4"/>
      <c r="R64" s="4"/>
      <c r="S64" s="4"/>
      <c r="T64" s="4"/>
      <c r="U64" s="4"/>
      <c r="V64" s="4"/>
      <c r="W64" s="4"/>
      <c r="X64" s="4"/>
      <c r="Y64" s="4"/>
    </row>
    <row r="65" spans="1:25" ht="33.75" customHeight="1">
      <c r="A65" s="4"/>
      <c r="B65" s="5"/>
      <c r="C65" s="7"/>
      <c r="D65" s="161"/>
      <c r="E65" s="4"/>
      <c r="F65" s="4"/>
      <c r="G65" s="4"/>
      <c r="H65" s="4"/>
      <c r="I65" s="4"/>
      <c r="J65" s="4"/>
      <c r="K65" s="4"/>
      <c r="L65" s="4"/>
      <c r="M65" s="4"/>
      <c r="N65" s="4"/>
      <c r="O65" s="4"/>
      <c r="P65" s="4"/>
      <c r="Q65" s="4"/>
      <c r="R65" s="4"/>
      <c r="S65" s="4"/>
      <c r="T65" s="4"/>
      <c r="U65" s="4"/>
      <c r="V65" s="4"/>
      <c r="W65" s="4"/>
      <c r="X65" s="4"/>
      <c r="Y65" s="4"/>
    </row>
    <row r="66" spans="1:25" ht="33.75" customHeight="1">
      <c r="A66" s="4"/>
      <c r="B66" s="5"/>
      <c r="C66" s="7"/>
      <c r="D66" s="161"/>
      <c r="E66" s="4"/>
      <c r="F66" s="4"/>
      <c r="G66" s="4"/>
      <c r="H66" s="4"/>
      <c r="I66" s="4"/>
      <c r="J66" s="4"/>
      <c r="K66" s="4"/>
      <c r="L66" s="4"/>
      <c r="M66" s="4"/>
      <c r="N66" s="4"/>
      <c r="O66" s="4"/>
      <c r="P66" s="4"/>
      <c r="Q66" s="4"/>
      <c r="R66" s="4"/>
      <c r="S66" s="4"/>
      <c r="T66" s="4"/>
      <c r="U66" s="4"/>
      <c r="V66" s="4"/>
      <c r="W66" s="4"/>
      <c r="X66" s="4"/>
      <c r="Y66" s="4"/>
    </row>
    <row r="67" spans="1:25" ht="33.75" customHeight="1">
      <c r="A67" s="4"/>
      <c r="B67" s="5"/>
      <c r="C67" s="7"/>
      <c r="D67" s="161"/>
      <c r="E67" s="4"/>
      <c r="F67" s="4"/>
      <c r="G67" s="4"/>
      <c r="H67" s="4"/>
      <c r="I67" s="4"/>
      <c r="J67" s="4"/>
      <c r="K67" s="4"/>
      <c r="L67" s="4"/>
      <c r="M67" s="4"/>
      <c r="N67" s="4"/>
      <c r="O67" s="4"/>
      <c r="P67" s="4"/>
      <c r="Q67" s="4"/>
      <c r="R67" s="4"/>
      <c r="S67" s="4"/>
      <c r="T67" s="4"/>
      <c r="U67" s="4"/>
      <c r="V67" s="4"/>
      <c r="W67" s="4"/>
      <c r="X67" s="4"/>
      <c r="Y67" s="4"/>
    </row>
    <row r="68" spans="1:25" ht="33.75" customHeight="1">
      <c r="A68" s="4"/>
      <c r="B68" s="5"/>
      <c r="C68" s="7"/>
      <c r="D68" s="161"/>
      <c r="E68" s="4"/>
      <c r="F68" s="4"/>
      <c r="G68" s="4"/>
      <c r="H68" s="4"/>
      <c r="I68" s="4"/>
      <c r="J68" s="4"/>
      <c r="K68" s="4"/>
      <c r="L68" s="4"/>
      <c r="M68" s="4"/>
      <c r="N68" s="4"/>
      <c r="O68" s="4"/>
      <c r="P68" s="4"/>
      <c r="Q68" s="4"/>
      <c r="R68" s="4"/>
      <c r="S68" s="4"/>
      <c r="T68" s="4"/>
      <c r="U68" s="4"/>
      <c r="V68" s="4"/>
      <c r="W68" s="4"/>
      <c r="X68" s="4"/>
      <c r="Y68" s="4"/>
    </row>
    <row r="69" spans="1:25" ht="33.75" customHeight="1">
      <c r="A69" s="4"/>
      <c r="B69" s="5"/>
      <c r="C69" s="7"/>
      <c r="D69" s="161"/>
      <c r="E69" s="4"/>
      <c r="F69" s="4"/>
      <c r="G69" s="4"/>
      <c r="H69" s="4"/>
      <c r="I69" s="4"/>
      <c r="J69" s="4"/>
      <c r="K69" s="4"/>
      <c r="L69" s="4"/>
      <c r="M69" s="4"/>
      <c r="N69" s="4"/>
      <c r="O69" s="4"/>
      <c r="P69" s="4"/>
      <c r="Q69" s="4"/>
      <c r="R69" s="4"/>
      <c r="S69" s="4"/>
      <c r="T69" s="4"/>
      <c r="U69" s="4"/>
      <c r="V69" s="4"/>
      <c r="W69" s="4"/>
      <c r="X69" s="4"/>
      <c r="Y69" s="4"/>
    </row>
    <row r="70" spans="1:25" ht="33.75" customHeight="1">
      <c r="A70" s="4"/>
      <c r="B70" s="5"/>
      <c r="C70" s="7"/>
      <c r="D70" s="161"/>
      <c r="E70" s="4"/>
      <c r="F70" s="4"/>
      <c r="G70" s="4"/>
      <c r="H70" s="4"/>
      <c r="I70" s="4"/>
      <c r="J70" s="4"/>
      <c r="K70" s="4"/>
      <c r="L70" s="4"/>
      <c r="M70" s="4"/>
      <c r="N70" s="4"/>
      <c r="O70" s="4"/>
      <c r="P70" s="4"/>
      <c r="Q70" s="4"/>
      <c r="R70" s="4"/>
      <c r="S70" s="4"/>
      <c r="T70" s="4"/>
      <c r="U70" s="4"/>
      <c r="V70" s="4"/>
      <c r="W70" s="4"/>
      <c r="X70" s="4"/>
      <c r="Y70" s="4"/>
    </row>
    <row r="71" spans="1:25" ht="33.75" customHeight="1">
      <c r="A71" s="4"/>
      <c r="B71" s="5"/>
      <c r="C71" s="7"/>
      <c r="D71" s="161"/>
      <c r="E71" s="4"/>
      <c r="F71" s="4"/>
      <c r="G71" s="4"/>
      <c r="H71" s="4"/>
      <c r="I71" s="4"/>
      <c r="J71" s="4"/>
      <c r="K71" s="4"/>
      <c r="L71" s="4"/>
      <c r="M71" s="4"/>
      <c r="N71" s="4"/>
      <c r="O71" s="4"/>
      <c r="P71" s="4"/>
      <c r="Q71" s="4"/>
      <c r="R71" s="4"/>
      <c r="S71" s="4"/>
      <c r="T71" s="4"/>
      <c r="U71" s="4"/>
      <c r="V71" s="4"/>
      <c r="W71" s="4"/>
      <c r="X71" s="4"/>
      <c r="Y71" s="4"/>
    </row>
    <row r="72" spans="1:25" ht="33.75" customHeight="1">
      <c r="A72" s="4"/>
      <c r="B72" s="5"/>
      <c r="C72" s="7"/>
      <c r="D72" s="161"/>
      <c r="E72" s="4"/>
      <c r="F72" s="4"/>
      <c r="G72" s="4"/>
      <c r="H72" s="4"/>
      <c r="I72" s="4"/>
      <c r="J72" s="4"/>
      <c r="K72" s="4"/>
      <c r="L72" s="4"/>
      <c r="M72" s="4"/>
      <c r="N72" s="4"/>
      <c r="O72" s="4"/>
      <c r="P72" s="4"/>
      <c r="Q72" s="4"/>
      <c r="R72" s="4"/>
      <c r="S72" s="4"/>
      <c r="T72" s="4"/>
      <c r="U72" s="4"/>
      <c r="V72" s="4"/>
      <c r="W72" s="4"/>
      <c r="X72" s="4"/>
      <c r="Y72" s="4"/>
    </row>
    <row r="73" spans="1:25" ht="33.75" customHeight="1">
      <c r="A73" s="4"/>
      <c r="B73" s="5"/>
      <c r="C73" s="7"/>
      <c r="D73" s="161"/>
      <c r="E73" s="4"/>
      <c r="F73" s="4"/>
      <c r="G73" s="4"/>
      <c r="H73" s="4"/>
      <c r="I73" s="4"/>
      <c r="J73" s="4"/>
      <c r="K73" s="4"/>
      <c r="L73" s="4"/>
      <c r="M73" s="4"/>
      <c r="N73" s="4"/>
      <c r="O73" s="4"/>
      <c r="P73" s="4"/>
      <c r="Q73" s="4"/>
      <c r="R73" s="4"/>
      <c r="S73" s="4"/>
      <c r="T73" s="4"/>
      <c r="U73" s="4"/>
      <c r="V73" s="4"/>
      <c r="W73" s="4"/>
      <c r="X73" s="4"/>
      <c r="Y73" s="4"/>
    </row>
    <row r="74" spans="1:25" ht="33.75" customHeight="1">
      <c r="A74" s="4"/>
      <c r="B74" s="5"/>
      <c r="C74" s="7"/>
      <c r="D74" s="161"/>
      <c r="E74" s="4"/>
      <c r="F74" s="4"/>
      <c r="G74" s="4"/>
      <c r="H74" s="4"/>
      <c r="I74" s="4"/>
      <c r="J74" s="4"/>
      <c r="K74" s="4"/>
      <c r="L74" s="4"/>
      <c r="M74" s="4"/>
      <c r="N74" s="4"/>
      <c r="O74" s="4"/>
      <c r="P74" s="4"/>
      <c r="Q74" s="4"/>
      <c r="R74" s="4"/>
      <c r="S74" s="4"/>
      <c r="T74" s="4"/>
      <c r="U74" s="4"/>
      <c r="V74" s="4"/>
      <c r="W74" s="4"/>
      <c r="X74" s="4"/>
      <c r="Y74" s="4"/>
    </row>
    <row r="75" spans="1:25" ht="33.75" customHeight="1">
      <c r="A75" s="4"/>
      <c r="B75" s="5"/>
      <c r="C75" s="7"/>
      <c r="D75" s="161"/>
      <c r="E75" s="4"/>
      <c r="F75" s="4"/>
      <c r="G75" s="4"/>
      <c r="H75" s="4"/>
      <c r="I75" s="4"/>
      <c r="J75" s="4"/>
      <c r="K75" s="4"/>
      <c r="L75" s="4"/>
      <c r="M75" s="4"/>
      <c r="N75" s="4"/>
      <c r="O75" s="4"/>
      <c r="P75" s="4"/>
      <c r="Q75" s="4"/>
      <c r="R75" s="4"/>
      <c r="S75" s="4"/>
      <c r="T75" s="4"/>
      <c r="U75" s="4"/>
      <c r="V75" s="4"/>
      <c r="W75" s="4"/>
      <c r="X75" s="4"/>
      <c r="Y75" s="4"/>
    </row>
    <row r="76" spans="1:25" ht="33.75" customHeight="1">
      <c r="A76" s="4"/>
      <c r="B76" s="5"/>
      <c r="C76" s="7"/>
      <c r="D76" s="161"/>
      <c r="E76" s="4"/>
      <c r="F76" s="4"/>
      <c r="G76" s="4"/>
      <c r="H76" s="4"/>
      <c r="I76" s="4"/>
      <c r="J76" s="4"/>
      <c r="K76" s="4"/>
      <c r="L76" s="4"/>
      <c r="M76" s="4"/>
      <c r="N76" s="4"/>
      <c r="O76" s="4"/>
      <c r="P76" s="4"/>
      <c r="Q76" s="4"/>
      <c r="R76" s="4"/>
      <c r="S76" s="4"/>
      <c r="T76" s="4"/>
      <c r="U76" s="4"/>
      <c r="V76" s="4"/>
      <c r="W76" s="4"/>
      <c r="X76" s="4"/>
      <c r="Y76" s="4"/>
    </row>
    <row r="77" spans="1:25" ht="33.75" customHeight="1">
      <c r="A77" s="4"/>
      <c r="B77" s="5"/>
      <c r="C77" s="7"/>
      <c r="D77" s="161"/>
      <c r="E77" s="4"/>
      <c r="F77" s="4"/>
      <c r="G77" s="4"/>
      <c r="H77" s="4"/>
      <c r="I77" s="4"/>
      <c r="J77" s="4"/>
      <c r="K77" s="4"/>
      <c r="L77" s="4"/>
      <c r="M77" s="4"/>
      <c r="N77" s="4"/>
      <c r="O77" s="4"/>
      <c r="P77" s="4"/>
      <c r="Q77" s="4"/>
      <c r="R77" s="4"/>
      <c r="S77" s="4"/>
      <c r="T77" s="4"/>
      <c r="U77" s="4"/>
      <c r="V77" s="4"/>
      <c r="W77" s="4"/>
      <c r="X77" s="4"/>
      <c r="Y77" s="4"/>
    </row>
    <row r="78" spans="1:25" ht="33.75" customHeight="1">
      <c r="A78" s="4"/>
      <c r="B78" s="5"/>
      <c r="C78" s="7"/>
      <c r="D78" s="161"/>
      <c r="E78" s="4"/>
      <c r="F78" s="4"/>
      <c r="G78" s="4"/>
      <c r="H78" s="4"/>
      <c r="I78" s="4"/>
      <c r="J78" s="4"/>
      <c r="K78" s="4"/>
      <c r="L78" s="4"/>
      <c r="M78" s="4"/>
      <c r="N78" s="4"/>
      <c r="O78" s="4"/>
      <c r="P78" s="4"/>
      <c r="Q78" s="4"/>
      <c r="R78" s="4"/>
      <c r="S78" s="4"/>
      <c r="T78" s="4"/>
      <c r="U78" s="4"/>
      <c r="V78" s="4"/>
      <c r="W78" s="4"/>
      <c r="X78" s="4"/>
      <c r="Y78" s="4"/>
    </row>
    <row r="79" spans="1:25" ht="33.75" customHeight="1">
      <c r="A79" s="4"/>
      <c r="B79" s="5"/>
      <c r="C79" s="7"/>
      <c r="D79" s="161"/>
      <c r="E79" s="4"/>
      <c r="F79" s="4"/>
      <c r="G79" s="4"/>
      <c r="H79" s="4"/>
      <c r="I79" s="4"/>
      <c r="J79" s="4"/>
      <c r="K79" s="4"/>
      <c r="L79" s="4"/>
      <c r="M79" s="4"/>
      <c r="N79" s="4"/>
      <c r="O79" s="4"/>
      <c r="P79" s="4"/>
      <c r="Q79" s="4"/>
      <c r="R79" s="4"/>
      <c r="S79" s="4"/>
      <c r="T79" s="4"/>
      <c r="U79" s="4"/>
      <c r="V79" s="4"/>
      <c r="W79" s="4"/>
      <c r="X79" s="4"/>
      <c r="Y79" s="4"/>
    </row>
    <row r="80" spans="1:25" ht="33.75" customHeight="1">
      <c r="A80" s="4"/>
      <c r="B80" s="5"/>
      <c r="C80" s="7"/>
      <c r="D80" s="161"/>
      <c r="E80" s="4"/>
      <c r="F80" s="4"/>
      <c r="G80" s="4"/>
      <c r="H80" s="4"/>
      <c r="I80" s="4"/>
      <c r="J80" s="4"/>
      <c r="K80" s="4"/>
      <c r="L80" s="4"/>
      <c r="M80" s="4"/>
      <c r="N80" s="4"/>
      <c r="O80" s="4"/>
      <c r="P80" s="4"/>
      <c r="Q80" s="4"/>
      <c r="R80" s="4"/>
      <c r="S80" s="4"/>
      <c r="T80" s="4"/>
      <c r="U80" s="4"/>
      <c r="V80" s="4"/>
      <c r="W80" s="4"/>
      <c r="X80" s="4"/>
      <c r="Y80" s="4"/>
    </row>
    <row r="81" spans="1:25" ht="33.75" customHeight="1">
      <c r="A81" s="4"/>
      <c r="B81" s="5"/>
      <c r="C81" s="7"/>
      <c r="D81" s="161"/>
      <c r="E81" s="4"/>
      <c r="F81" s="4"/>
      <c r="G81" s="4"/>
      <c r="H81" s="4"/>
      <c r="I81" s="4"/>
      <c r="J81" s="4"/>
      <c r="K81" s="4"/>
      <c r="L81" s="4"/>
      <c r="M81" s="4"/>
      <c r="N81" s="4"/>
      <c r="O81" s="4"/>
      <c r="P81" s="4"/>
      <c r="Q81" s="4"/>
      <c r="R81" s="4"/>
      <c r="S81" s="4"/>
      <c r="T81" s="4"/>
      <c r="U81" s="4"/>
      <c r="V81" s="4"/>
      <c r="W81" s="4"/>
      <c r="X81" s="4"/>
      <c r="Y81" s="4"/>
    </row>
    <row r="82" spans="1:25" ht="33.75" customHeight="1">
      <c r="A82" s="4"/>
      <c r="B82" s="5"/>
      <c r="C82" s="7"/>
      <c r="D82" s="161"/>
      <c r="E82" s="4"/>
      <c r="F82" s="4"/>
      <c r="G82" s="4"/>
      <c r="H82" s="4"/>
      <c r="I82" s="4"/>
      <c r="J82" s="4"/>
      <c r="K82" s="4"/>
      <c r="L82" s="4"/>
      <c r="M82" s="4"/>
      <c r="N82" s="4"/>
      <c r="O82" s="4"/>
      <c r="P82" s="4"/>
      <c r="Q82" s="4"/>
      <c r="R82" s="4"/>
      <c r="S82" s="4"/>
      <c r="T82" s="4"/>
      <c r="U82" s="4"/>
      <c r="V82" s="4"/>
      <c r="W82" s="4"/>
      <c r="X82" s="4"/>
      <c r="Y82" s="4"/>
    </row>
    <row r="83" spans="1:25" ht="33.75" customHeight="1">
      <c r="A83" s="4"/>
      <c r="B83" s="5"/>
      <c r="C83" s="7"/>
      <c r="D83" s="161"/>
      <c r="E83" s="4"/>
      <c r="F83" s="4"/>
      <c r="G83" s="4"/>
      <c r="H83" s="4"/>
      <c r="I83" s="4"/>
      <c r="J83" s="4"/>
      <c r="K83" s="4"/>
      <c r="L83" s="4"/>
      <c r="M83" s="4"/>
      <c r="N83" s="4"/>
      <c r="O83" s="4"/>
      <c r="P83" s="4"/>
      <c r="Q83" s="4"/>
      <c r="R83" s="4"/>
      <c r="S83" s="4"/>
      <c r="T83" s="4"/>
      <c r="U83" s="4"/>
      <c r="V83" s="4"/>
      <c r="W83" s="4"/>
      <c r="X83" s="4"/>
      <c r="Y83" s="4"/>
    </row>
    <row r="84" spans="1:25" ht="33.75" customHeight="1">
      <c r="A84" s="4"/>
      <c r="B84" s="5"/>
      <c r="C84" s="7"/>
      <c r="D84" s="161"/>
      <c r="E84" s="4"/>
      <c r="F84" s="4"/>
      <c r="G84" s="4"/>
      <c r="H84" s="4"/>
      <c r="I84" s="4"/>
      <c r="J84" s="4"/>
      <c r="K84" s="4"/>
      <c r="L84" s="4"/>
      <c r="M84" s="4"/>
      <c r="N84" s="4"/>
      <c r="O84" s="4"/>
      <c r="P84" s="4"/>
      <c r="Q84" s="4"/>
      <c r="R84" s="4"/>
      <c r="S84" s="4"/>
      <c r="T84" s="4"/>
      <c r="U84" s="4"/>
      <c r="V84" s="4"/>
      <c r="W84" s="4"/>
      <c r="X84" s="4"/>
      <c r="Y84" s="4"/>
    </row>
    <row r="85" spans="1:25" ht="33.75" customHeight="1">
      <c r="A85" s="4"/>
      <c r="B85" s="5"/>
      <c r="C85" s="7"/>
      <c r="D85" s="161"/>
      <c r="E85" s="4"/>
      <c r="F85" s="4"/>
      <c r="G85" s="4"/>
      <c r="H85" s="4"/>
      <c r="I85" s="4"/>
      <c r="J85" s="4"/>
      <c r="K85" s="4"/>
      <c r="L85" s="4"/>
      <c r="M85" s="4"/>
      <c r="N85" s="4"/>
      <c r="O85" s="4"/>
      <c r="P85" s="4"/>
      <c r="Q85" s="4"/>
      <c r="R85" s="4"/>
      <c r="S85" s="4"/>
      <c r="T85" s="4"/>
      <c r="U85" s="4"/>
      <c r="V85" s="4"/>
      <c r="W85" s="4"/>
      <c r="X85" s="4"/>
      <c r="Y85" s="4"/>
    </row>
    <row r="86" spans="1:25" ht="33.75" customHeight="1">
      <c r="A86" s="4"/>
      <c r="B86" s="5"/>
      <c r="C86" s="7"/>
      <c r="D86" s="161"/>
      <c r="E86" s="4"/>
      <c r="F86" s="4"/>
      <c r="G86" s="4"/>
      <c r="H86" s="4"/>
      <c r="I86" s="4"/>
      <c r="J86" s="4"/>
      <c r="K86" s="4"/>
      <c r="L86" s="4"/>
      <c r="M86" s="4"/>
      <c r="N86" s="4"/>
      <c r="O86" s="4"/>
      <c r="P86" s="4"/>
      <c r="Q86" s="4"/>
      <c r="R86" s="4"/>
      <c r="S86" s="4"/>
      <c r="T86" s="4"/>
      <c r="U86" s="4"/>
      <c r="V86" s="4"/>
      <c r="W86" s="4"/>
      <c r="X86" s="4"/>
      <c r="Y86" s="4"/>
    </row>
    <row r="87" spans="1:25" ht="33.75" customHeight="1">
      <c r="A87" s="4"/>
      <c r="B87" s="5"/>
      <c r="C87" s="7"/>
      <c r="D87" s="161"/>
      <c r="E87" s="4"/>
      <c r="F87" s="4"/>
      <c r="G87" s="4"/>
      <c r="H87" s="4"/>
      <c r="I87" s="4"/>
      <c r="J87" s="4"/>
      <c r="K87" s="4"/>
      <c r="L87" s="4"/>
      <c r="M87" s="4"/>
      <c r="N87" s="4"/>
      <c r="O87" s="4"/>
      <c r="P87" s="4"/>
      <c r="Q87" s="4"/>
      <c r="R87" s="4"/>
      <c r="S87" s="4"/>
      <c r="T87" s="4"/>
      <c r="U87" s="4"/>
      <c r="V87" s="4"/>
      <c r="W87" s="4"/>
      <c r="X87" s="4"/>
      <c r="Y87" s="4"/>
    </row>
    <row r="88" spans="1:25" ht="33.75" customHeight="1">
      <c r="A88" s="4"/>
      <c r="B88" s="5"/>
      <c r="C88" s="7"/>
      <c r="D88" s="161"/>
      <c r="E88" s="4"/>
      <c r="F88" s="4"/>
      <c r="G88" s="4"/>
      <c r="H88" s="4"/>
      <c r="I88" s="4"/>
      <c r="J88" s="4"/>
      <c r="K88" s="4"/>
      <c r="L88" s="4"/>
      <c r="M88" s="4"/>
      <c r="N88" s="4"/>
      <c r="O88" s="4"/>
      <c r="P88" s="4"/>
      <c r="Q88" s="4"/>
      <c r="R88" s="4"/>
      <c r="S88" s="4"/>
      <c r="T88" s="4"/>
      <c r="U88" s="4"/>
      <c r="V88" s="4"/>
      <c r="W88" s="4"/>
      <c r="X88" s="4"/>
      <c r="Y88" s="4"/>
    </row>
    <row r="89" spans="1:25" ht="33.75" customHeight="1">
      <c r="A89" s="4"/>
      <c r="B89" s="5"/>
      <c r="C89" s="7"/>
      <c r="D89" s="161"/>
      <c r="E89" s="4"/>
      <c r="F89" s="4"/>
      <c r="G89" s="4"/>
      <c r="H89" s="4"/>
      <c r="I89" s="4"/>
      <c r="J89" s="4"/>
      <c r="K89" s="4"/>
      <c r="L89" s="4"/>
      <c r="M89" s="4"/>
      <c r="N89" s="4"/>
      <c r="O89" s="4"/>
      <c r="P89" s="4"/>
      <c r="Q89" s="4"/>
      <c r="R89" s="4"/>
      <c r="S89" s="4"/>
      <c r="T89" s="4"/>
      <c r="U89" s="4"/>
      <c r="V89" s="4"/>
      <c r="W89" s="4"/>
      <c r="X89" s="4"/>
      <c r="Y89" s="4"/>
    </row>
    <row r="90" spans="1:25" ht="33.75" customHeight="1">
      <c r="A90" s="4"/>
      <c r="B90" s="5"/>
      <c r="C90" s="7"/>
      <c r="D90" s="161"/>
      <c r="E90" s="4"/>
      <c r="F90" s="4"/>
      <c r="G90" s="4"/>
      <c r="H90" s="4"/>
      <c r="I90" s="4"/>
      <c r="J90" s="4"/>
      <c r="K90" s="4"/>
      <c r="L90" s="4"/>
      <c r="M90" s="4"/>
      <c r="N90" s="4"/>
      <c r="O90" s="4"/>
      <c r="P90" s="4"/>
      <c r="Q90" s="4"/>
      <c r="R90" s="4"/>
      <c r="S90" s="4"/>
      <c r="T90" s="4"/>
      <c r="U90" s="4"/>
      <c r="V90" s="4"/>
      <c r="W90" s="4"/>
      <c r="X90" s="4"/>
      <c r="Y90" s="4"/>
    </row>
    <row r="91" spans="1:25" ht="33.75" customHeight="1">
      <c r="A91" s="4"/>
      <c r="B91" s="5"/>
      <c r="C91" s="7"/>
      <c r="D91" s="161"/>
      <c r="E91" s="4"/>
      <c r="F91" s="4"/>
      <c r="G91" s="4"/>
      <c r="H91" s="4"/>
      <c r="I91" s="4"/>
      <c r="J91" s="4"/>
      <c r="K91" s="4"/>
      <c r="L91" s="4"/>
      <c r="M91" s="4"/>
      <c r="N91" s="4"/>
      <c r="O91" s="4"/>
      <c r="P91" s="4"/>
      <c r="Q91" s="4"/>
      <c r="R91" s="4"/>
      <c r="S91" s="4"/>
      <c r="T91" s="4"/>
      <c r="U91" s="4"/>
      <c r="V91" s="4"/>
      <c r="W91" s="4"/>
      <c r="X91" s="4"/>
      <c r="Y91" s="4"/>
    </row>
    <row r="92" spans="1:25" ht="33.75" customHeight="1">
      <c r="A92" s="4"/>
      <c r="B92" s="5"/>
      <c r="C92" s="7"/>
      <c r="D92" s="161"/>
      <c r="E92" s="4"/>
      <c r="F92" s="4"/>
      <c r="G92" s="4"/>
      <c r="H92" s="4"/>
      <c r="I92" s="4"/>
      <c r="J92" s="4"/>
      <c r="K92" s="4"/>
      <c r="L92" s="4"/>
      <c r="M92" s="4"/>
      <c r="N92" s="4"/>
      <c r="O92" s="4"/>
      <c r="P92" s="4"/>
      <c r="Q92" s="4"/>
      <c r="R92" s="4"/>
      <c r="S92" s="4"/>
      <c r="T92" s="4"/>
      <c r="U92" s="4"/>
      <c r="V92" s="4"/>
      <c r="W92" s="4"/>
      <c r="X92" s="4"/>
      <c r="Y92" s="4"/>
    </row>
    <row r="93" spans="1:25" ht="33.75" customHeight="1">
      <c r="A93" s="4"/>
      <c r="B93" s="5"/>
      <c r="C93" s="7"/>
      <c r="D93" s="161"/>
      <c r="E93" s="4"/>
      <c r="F93" s="4"/>
      <c r="G93" s="4"/>
      <c r="H93" s="4"/>
      <c r="I93" s="4"/>
      <c r="J93" s="4"/>
      <c r="K93" s="4"/>
      <c r="L93" s="4"/>
      <c r="M93" s="4"/>
      <c r="N93" s="4"/>
      <c r="O93" s="4"/>
      <c r="P93" s="4"/>
      <c r="Q93" s="4"/>
      <c r="R93" s="4"/>
      <c r="S93" s="4"/>
      <c r="T93" s="4"/>
      <c r="U93" s="4"/>
      <c r="V93" s="4"/>
      <c r="W93" s="4"/>
      <c r="X93" s="4"/>
      <c r="Y93" s="4"/>
    </row>
    <row r="94" spans="1:25" ht="33.75" customHeight="1">
      <c r="A94" s="4"/>
      <c r="B94" s="5"/>
      <c r="C94" s="7"/>
      <c r="D94" s="161"/>
      <c r="E94" s="4"/>
      <c r="F94" s="4"/>
      <c r="G94" s="4"/>
      <c r="H94" s="4"/>
      <c r="I94" s="4"/>
      <c r="J94" s="4"/>
      <c r="K94" s="4"/>
      <c r="L94" s="4"/>
      <c r="M94" s="4"/>
      <c r="N94" s="4"/>
      <c r="O94" s="4"/>
      <c r="P94" s="4"/>
      <c r="Q94" s="4"/>
      <c r="R94" s="4"/>
      <c r="S94" s="4"/>
      <c r="T94" s="4"/>
      <c r="U94" s="4"/>
      <c r="V94" s="4"/>
      <c r="W94" s="4"/>
      <c r="X94" s="4"/>
      <c r="Y94" s="4"/>
    </row>
    <row r="95" spans="1:25" ht="33.75" customHeight="1">
      <c r="A95" s="4"/>
      <c r="B95" s="5"/>
      <c r="C95" s="7"/>
      <c r="D95" s="161"/>
      <c r="E95" s="4"/>
      <c r="F95" s="4"/>
      <c r="G95" s="4"/>
      <c r="H95" s="4"/>
      <c r="I95" s="4"/>
      <c r="J95" s="4"/>
      <c r="K95" s="4"/>
      <c r="L95" s="4"/>
      <c r="M95" s="4"/>
      <c r="N95" s="4"/>
      <c r="O95" s="4"/>
      <c r="P95" s="4"/>
      <c r="Q95" s="4"/>
      <c r="R95" s="4"/>
      <c r="S95" s="4"/>
      <c r="T95" s="4"/>
      <c r="U95" s="4"/>
      <c r="V95" s="4"/>
      <c r="W95" s="4"/>
      <c r="X95" s="4"/>
      <c r="Y95" s="4"/>
    </row>
    <row r="96" spans="1:25" ht="33.75" customHeight="1">
      <c r="A96" s="4"/>
      <c r="B96" s="5"/>
      <c r="C96" s="7"/>
      <c r="D96" s="161"/>
      <c r="E96" s="4"/>
      <c r="F96" s="4"/>
      <c r="G96" s="4"/>
      <c r="H96" s="4"/>
      <c r="I96" s="4"/>
      <c r="J96" s="4"/>
      <c r="K96" s="4"/>
      <c r="L96" s="4"/>
      <c r="M96" s="4"/>
      <c r="N96" s="4"/>
      <c r="O96" s="4"/>
      <c r="P96" s="4"/>
      <c r="Q96" s="4"/>
      <c r="R96" s="4"/>
      <c r="S96" s="4"/>
      <c r="T96" s="4"/>
      <c r="U96" s="4"/>
      <c r="V96" s="4"/>
      <c r="W96" s="4"/>
      <c r="X96" s="4"/>
      <c r="Y96" s="4"/>
    </row>
    <row r="97" spans="1:25" ht="33.75" customHeight="1">
      <c r="A97" s="4"/>
      <c r="B97" s="5"/>
      <c r="C97" s="7"/>
      <c r="D97" s="161"/>
      <c r="E97" s="4"/>
      <c r="F97" s="4"/>
      <c r="G97" s="4"/>
      <c r="H97" s="4"/>
      <c r="I97" s="4"/>
      <c r="J97" s="4"/>
      <c r="K97" s="4"/>
      <c r="L97" s="4"/>
      <c r="M97" s="4"/>
      <c r="N97" s="4"/>
      <c r="O97" s="4"/>
      <c r="P97" s="4"/>
      <c r="Q97" s="4"/>
      <c r="R97" s="4"/>
      <c r="S97" s="4"/>
      <c r="T97" s="4"/>
      <c r="U97" s="4"/>
      <c r="V97" s="4"/>
      <c r="W97" s="4"/>
      <c r="X97" s="4"/>
      <c r="Y97" s="4"/>
    </row>
    <row r="98" spans="1:25" ht="33.75" customHeight="1">
      <c r="A98" s="4"/>
      <c r="B98" s="5"/>
      <c r="C98" s="7"/>
      <c r="D98" s="161"/>
      <c r="E98" s="4"/>
      <c r="F98" s="4"/>
      <c r="G98" s="4"/>
      <c r="H98" s="4"/>
      <c r="I98" s="4"/>
      <c r="J98" s="4"/>
      <c r="K98" s="4"/>
      <c r="L98" s="4"/>
      <c r="M98" s="4"/>
      <c r="N98" s="4"/>
      <c r="O98" s="4"/>
      <c r="P98" s="4"/>
      <c r="Q98" s="4"/>
      <c r="R98" s="4"/>
      <c r="S98" s="4"/>
      <c r="T98" s="4"/>
      <c r="U98" s="4"/>
      <c r="V98" s="4"/>
      <c r="W98" s="4"/>
      <c r="X98" s="4"/>
      <c r="Y98" s="4"/>
    </row>
    <row r="99" spans="1:25" ht="33.75" customHeight="1">
      <c r="A99" s="4"/>
      <c r="B99" s="5"/>
      <c r="C99" s="7"/>
      <c r="D99" s="161"/>
      <c r="E99" s="4"/>
      <c r="F99" s="4"/>
      <c r="G99" s="4"/>
      <c r="H99" s="4"/>
      <c r="I99" s="4"/>
      <c r="J99" s="4"/>
      <c r="K99" s="4"/>
      <c r="L99" s="4"/>
      <c r="M99" s="4"/>
      <c r="N99" s="4"/>
      <c r="O99" s="4"/>
      <c r="P99" s="4"/>
      <c r="Q99" s="4"/>
      <c r="R99" s="4"/>
      <c r="S99" s="4"/>
      <c r="T99" s="4"/>
      <c r="U99" s="4"/>
      <c r="V99" s="4"/>
      <c r="W99" s="4"/>
      <c r="X99" s="4"/>
      <c r="Y99" s="4"/>
    </row>
    <row r="100" spans="1:25" ht="33.75" customHeight="1">
      <c r="A100" s="4"/>
      <c r="B100" s="5"/>
      <c r="C100" s="7"/>
      <c r="D100" s="161"/>
      <c r="E100" s="4"/>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7"/>
      <c r="D101" s="161"/>
      <c r="E101" s="4"/>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7"/>
      <c r="D102" s="161"/>
      <c r="E102" s="4"/>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7"/>
      <c r="D103" s="161"/>
      <c r="E103" s="4"/>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7"/>
      <c r="D104" s="161"/>
      <c r="E104" s="4"/>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7"/>
      <c r="D105" s="161"/>
      <c r="E105" s="4"/>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7"/>
      <c r="D106" s="161"/>
      <c r="E106" s="4"/>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7"/>
      <c r="D107" s="161"/>
      <c r="E107" s="4"/>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7"/>
      <c r="D108" s="161"/>
      <c r="E108" s="4"/>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7"/>
      <c r="D109" s="161"/>
      <c r="E109" s="4"/>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7"/>
      <c r="D110" s="161"/>
      <c r="E110" s="4"/>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7"/>
      <c r="D111" s="161"/>
      <c r="E111" s="4"/>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7"/>
      <c r="D112" s="161"/>
      <c r="E112" s="4"/>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7"/>
      <c r="D113" s="161"/>
      <c r="E113" s="4"/>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7"/>
      <c r="D114" s="161"/>
      <c r="E114" s="4"/>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7"/>
      <c r="D115" s="161"/>
      <c r="E115" s="4"/>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7"/>
      <c r="D116" s="161"/>
      <c r="E116" s="4"/>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7"/>
      <c r="D117" s="161"/>
      <c r="E117" s="4"/>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7"/>
      <c r="D118" s="161"/>
      <c r="E118" s="4"/>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7"/>
      <c r="D119" s="161"/>
      <c r="E119" s="4"/>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7"/>
      <c r="D120" s="161"/>
      <c r="E120" s="4"/>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7"/>
      <c r="D121" s="161"/>
      <c r="E121" s="4"/>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7"/>
      <c r="D122" s="161"/>
      <c r="E122" s="4"/>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7"/>
      <c r="D123" s="161"/>
      <c r="E123" s="4"/>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7"/>
      <c r="D124" s="161"/>
      <c r="E124" s="4"/>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7"/>
      <c r="D125" s="161"/>
      <c r="E125" s="4"/>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7"/>
      <c r="D126" s="161"/>
      <c r="E126" s="4"/>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7"/>
      <c r="D127" s="161"/>
      <c r="E127" s="4"/>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7"/>
      <c r="D128" s="161"/>
      <c r="E128" s="4"/>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7"/>
      <c r="D129" s="161"/>
      <c r="E129" s="4"/>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7"/>
      <c r="D130" s="161"/>
      <c r="E130" s="4"/>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7"/>
      <c r="D131" s="161"/>
      <c r="E131" s="4"/>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7"/>
      <c r="D132" s="161"/>
      <c r="E132" s="4"/>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7"/>
      <c r="D133" s="161"/>
      <c r="E133" s="4"/>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7"/>
      <c r="D134" s="161"/>
      <c r="E134" s="4"/>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7"/>
      <c r="D135" s="161"/>
      <c r="E135" s="4"/>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7"/>
      <c r="D136" s="161"/>
      <c r="E136" s="4"/>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7"/>
      <c r="D137" s="161"/>
      <c r="E137" s="4"/>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7"/>
      <c r="D138" s="161"/>
      <c r="E138" s="4"/>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7"/>
      <c r="D139" s="161"/>
      <c r="E139" s="4"/>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7"/>
      <c r="D140" s="161"/>
      <c r="E140" s="4"/>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7"/>
      <c r="D141" s="161"/>
      <c r="E141" s="4"/>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7"/>
      <c r="D142" s="161"/>
      <c r="E142" s="4"/>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7"/>
      <c r="D143" s="161"/>
      <c r="E143" s="4"/>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7"/>
      <c r="D144" s="161"/>
      <c r="E144" s="4"/>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7"/>
      <c r="D145" s="161"/>
      <c r="E145" s="4"/>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7"/>
      <c r="D146" s="161"/>
      <c r="E146" s="4"/>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7"/>
      <c r="D147" s="161"/>
      <c r="E147" s="4"/>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7"/>
      <c r="D148" s="161"/>
      <c r="E148" s="4"/>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7"/>
      <c r="D149" s="161"/>
      <c r="E149" s="4"/>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7"/>
      <c r="D150" s="161"/>
      <c r="E150" s="4"/>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7"/>
      <c r="D151" s="161"/>
      <c r="E151" s="4"/>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7"/>
      <c r="D152" s="161"/>
      <c r="E152" s="4"/>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7"/>
      <c r="D153" s="161"/>
      <c r="E153" s="4"/>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7"/>
      <c r="D154" s="161"/>
      <c r="E154" s="4"/>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7"/>
      <c r="D155" s="161"/>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7"/>
      <c r="D156" s="161"/>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7"/>
      <c r="D157" s="161"/>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7"/>
      <c r="D158" s="161"/>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7"/>
      <c r="D159" s="161"/>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7"/>
      <c r="D160" s="161"/>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7"/>
      <c r="D161" s="161"/>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7"/>
      <c r="D162" s="161"/>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7"/>
      <c r="D163" s="161"/>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7"/>
      <c r="D164" s="161"/>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7"/>
      <c r="D165" s="161"/>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7"/>
      <c r="D166" s="161"/>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7"/>
      <c r="D167" s="161"/>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7"/>
      <c r="D168" s="161"/>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7"/>
      <c r="D169" s="161"/>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7"/>
      <c r="D170" s="161"/>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7"/>
      <c r="D171" s="161"/>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7"/>
      <c r="D172" s="161"/>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7"/>
      <c r="D173" s="161"/>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7"/>
      <c r="D174" s="161"/>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7"/>
      <c r="D175" s="161"/>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7"/>
      <c r="D176" s="161"/>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7"/>
      <c r="D177" s="161"/>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7"/>
      <c r="D178" s="161"/>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7"/>
      <c r="D179" s="161"/>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7"/>
      <c r="D180" s="161"/>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7"/>
      <c r="D181" s="161"/>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7"/>
      <c r="D182" s="161"/>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7"/>
      <c r="D183" s="161"/>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7"/>
      <c r="D184" s="161"/>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7"/>
      <c r="D185" s="161"/>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7"/>
      <c r="D186" s="161"/>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7"/>
      <c r="D187" s="161"/>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7"/>
      <c r="D188" s="161"/>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7"/>
      <c r="D189" s="161"/>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7"/>
      <c r="D190" s="161"/>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7"/>
      <c r="D191" s="161"/>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7"/>
      <c r="D192" s="161"/>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7"/>
      <c r="D193" s="161"/>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7"/>
      <c r="D194" s="161"/>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7"/>
      <c r="D195" s="161"/>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7"/>
      <c r="D196" s="161"/>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7"/>
      <c r="D197" s="161"/>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7"/>
      <c r="D198" s="161"/>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7"/>
      <c r="D199" s="161"/>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7"/>
      <c r="D200" s="161"/>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7"/>
      <c r="D201" s="161"/>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7"/>
      <c r="D202" s="161"/>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7"/>
      <c r="D203" s="161"/>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7"/>
      <c r="D204" s="161"/>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7"/>
      <c r="D205" s="161"/>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7"/>
      <c r="D206" s="161"/>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7"/>
      <c r="D207" s="161"/>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7"/>
      <c r="D208" s="161"/>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7"/>
      <c r="D209" s="161"/>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7"/>
      <c r="D210" s="161"/>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7"/>
      <c r="D211" s="161"/>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7"/>
      <c r="D212" s="161"/>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7"/>
      <c r="D213" s="161"/>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7"/>
      <c r="D214" s="161"/>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7"/>
      <c r="D215" s="161"/>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7"/>
      <c r="D216" s="161"/>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7"/>
      <c r="D217" s="161"/>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7"/>
      <c r="D218" s="161"/>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7"/>
      <c r="D219" s="161"/>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7"/>
      <c r="D220" s="161"/>
      <c r="E220" s="4"/>
      <c r="F220" s="4"/>
      <c r="G220" s="4"/>
      <c r="H220" s="4"/>
      <c r="I220" s="4"/>
      <c r="J220" s="4"/>
      <c r="K220" s="4"/>
      <c r="L220" s="4"/>
      <c r="M220" s="4"/>
      <c r="N220" s="4"/>
      <c r="O220" s="4"/>
      <c r="P220" s="4"/>
      <c r="Q220" s="4"/>
      <c r="R220" s="4"/>
      <c r="S220" s="4"/>
      <c r="T220" s="4"/>
      <c r="U220" s="4"/>
      <c r="V220" s="4"/>
      <c r="W220" s="4"/>
      <c r="X220" s="4"/>
      <c r="Y220" s="4"/>
    </row>
    <row r="221" spans="1:25" ht="15.75" customHeight="1">
      <c r="B221" s="6"/>
    </row>
    <row r="222" spans="1:25" ht="15.75" customHeight="1">
      <c r="B222" s="6"/>
    </row>
    <row r="223" spans="1:25" ht="15.75" customHeight="1">
      <c r="B223" s="6"/>
    </row>
    <row r="224" spans="1:25"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autoFilter ref="A1:Y7" xr:uid="{00000000-0001-0000-0E00-000000000000}"/>
  <dataValidations count="5">
    <dataValidation type="list" allowBlank="1" showErrorMessage="1" sqref="F2:G7" xr:uid="{00000000-0002-0000-0E00-000000000000}">
      <formula1>$E$1:$E$16</formula1>
    </dataValidation>
    <dataValidation type="list" allowBlank="1" showErrorMessage="1" sqref="N2:O7" xr:uid="{00000000-0002-0000-0E00-000001000000}">
      <formula1>$J$1:$J$7</formula1>
    </dataValidation>
    <dataValidation type="list" allowBlank="1" showErrorMessage="1" sqref="H2:J7" xr:uid="{00000000-0002-0000-0E00-000002000000}">
      <formula1>$G$1:$G$126</formula1>
    </dataValidation>
    <dataValidation type="list" allowBlank="1" showErrorMessage="1" sqref="K2:M7" xr:uid="{00000000-0002-0000-0E00-000003000000}">
      <formula1>$H$1:$H$126</formula1>
    </dataValidation>
    <dataValidation type="list" allowBlank="1" showErrorMessage="1" sqref="P2:R7" xr:uid="{00000000-0002-0000-0E00-000004000000}">
      <formula1>$I$1:$I$126</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workbookViewId="0">
      <pane ySplit="1" topLeftCell="A2" activePane="bottomLeft" state="frozen"/>
      <selection pane="bottomLeft" activeCell="H7" sqref="H7"/>
    </sheetView>
  </sheetViews>
  <sheetFormatPr defaultColWidth="14.44140625" defaultRowHeight="15" customHeight="1"/>
  <cols>
    <col min="1" max="1" width="9.109375" customWidth="1"/>
    <col min="2" max="2" width="45.109375" customWidth="1"/>
    <col min="3" max="3" width="20" customWidth="1"/>
    <col min="4" max="4" width="45.44140625" customWidth="1"/>
    <col min="5" max="5" width="34.6640625" customWidth="1"/>
    <col min="6" max="25" width="9.109375" customWidth="1"/>
  </cols>
  <sheetData>
    <row r="1" spans="1:26" s="486" customFormat="1" ht="33.75" customHeight="1">
      <c r="A1" s="515" t="s">
        <v>1476</v>
      </c>
      <c r="B1" s="515" t="s">
        <v>3527</v>
      </c>
      <c r="C1" s="515" t="s">
        <v>2</v>
      </c>
      <c r="D1" s="515" t="s">
        <v>3</v>
      </c>
      <c r="E1" s="499" t="s">
        <v>4</v>
      </c>
      <c r="F1" s="504"/>
      <c r="G1" s="504"/>
      <c r="H1" s="504"/>
      <c r="I1" s="504"/>
      <c r="J1" s="504"/>
      <c r="K1" s="516"/>
      <c r="L1" s="516"/>
      <c r="M1" s="516"/>
      <c r="N1" s="516"/>
      <c r="O1" s="516"/>
      <c r="P1" s="516"/>
      <c r="Q1" s="504"/>
      <c r="R1" s="516"/>
      <c r="S1" s="504"/>
      <c r="T1" s="504"/>
      <c r="U1" s="504"/>
      <c r="V1" s="504"/>
      <c r="W1" s="504"/>
      <c r="X1" s="504"/>
      <c r="Y1" s="504"/>
    </row>
    <row r="2" spans="1:26" ht="33.75" customHeight="1">
      <c r="A2" s="15">
        <v>1</v>
      </c>
      <c r="B2" s="2" t="s">
        <v>4855</v>
      </c>
      <c r="C2" s="419">
        <v>40303</v>
      </c>
      <c r="D2" s="113" t="s">
        <v>4856</v>
      </c>
      <c r="E2" s="113" t="s">
        <v>4857</v>
      </c>
      <c r="F2" s="4"/>
      <c r="G2" s="161"/>
      <c r="H2" s="161"/>
      <c r="I2" s="161"/>
      <c r="J2" s="161"/>
      <c r="K2" s="4"/>
      <c r="L2" s="4"/>
      <c r="M2" s="4"/>
      <c r="N2" s="4"/>
      <c r="O2" s="4"/>
      <c r="P2" s="161"/>
      <c r="Q2" s="161"/>
      <c r="R2" s="4"/>
      <c r="S2" s="161"/>
      <c r="T2" s="161"/>
      <c r="U2" s="161"/>
      <c r="V2" s="161"/>
      <c r="W2" s="161"/>
      <c r="X2" s="161"/>
      <c r="Y2" s="161"/>
    </row>
    <row r="3" spans="1:26" ht="33.75" customHeight="1">
      <c r="A3" s="15">
        <v>2</v>
      </c>
      <c r="B3" s="2" t="s">
        <v>4858</v>
      </c>
      <c r="C3" s="419">
        <v>40304</v>
      </c>
      <c r="D3" s="113" t="s">
        <v>4859</v>
      </c>
      <c r="E3" s="113" t="s">
        <v>4857</v>
      </c>
      <c r="F3" s="4"/>
      <c r="G3" s="161"/>
      <c r="H3" s="161"/>
      <c r="I3" s="161"/>
      <c r="J3" s="161"/>
      <c r="K3" s="4"/>
      <c r="L3" s="4"/>
      <c r="M3" s="4"/>
      <c r="N3" s="4"/>
      <c r="O3" s="4"/>
      <c r="P3" s="161"/>
      <c r="Q3" s="161"/>
      <c r="R3" s="4"/>
      <c r="S3" s="161"/>
      <c r="T3" s="161"/>
      <c r="U3" s="161"/>
      <c r="V3" s="161"/>
      <c r="W3" s="161"/>
      <c r="X3" s="161"/>
      <c r="Y3" s="161"/>
    </row>
    <row r="4" spans="1:26" ht="33.75" customHeight="1">
      <c r="A4" s="15">
        <v>3</v>
      </c>
      <c r="B4" s="2" t="s">
        <v>4860</v>
      </c>
      <c r="C4" s="419">
        <v>40305</v>
      </c>
      <c r="D4" s="113" t="s">
        <v>4861</v>
      </c>
      <c r="E4" s="113" t="s">
        <v>4857</v>
      </c>
      <c r="F4" s="4"/>
      <c r="G4" s="161"/>
      <c r="H4" s="161"/>
      <c r="I4" s="161"/>
      <c r="J4" s="161"/>
      <c r="K4" s="4"/>
      <c r="L4" s="4"/>
      <c r="M4" s="4"/>
      <c r="N4" s="4"/>
      <c r="O4" s="4"/>
      <c r="P4" s="161"/>
      <c r="Q4" s="161"/>
      <c r="R4" s="4"/>
      <c r="S4" s="161"/>
      <c r="T4" s="161"/>
      <c r="U4" s="161"/>
      <c r="V4" s="161"/>
      <c r="W4" s="161"/>
      <c r="X4" s="161"/>
      <c r="Y4" s="161"/>
    </row>
    <row r="5" spans="1:26" ht="33.75" customHeight="1">
      <c r="A5" s="15">
        <v>4</v>
      </c>
      <c r="B5" s="2" t="s">
        <v>4862</v>
      </c>
      <c r="C5" s="419">
        <v>40308</v>
      </c>
      <c r="D5" s="113" t="s">
        <v>4863</v>
      </c>
      <c r="E5" s="113" t="s">
        <v>4857</v>
      </c>
      <c r="F5" s="4"/>
      <c r="G5" s="161"/>
      <c r="H5" s="161"/>
      <c r="I5" s="161"/>
      <c r="J5" s="161"/>
      <c r="K5" s="4"/>
      <c r="L5" s="4"/>
      <c r="M5" s="4"/>
      <c r="N5" s="4"/>
      <c r="O5" s="4"/>
      <c r="P5" s="161"/>
      <c r="Q5" s="161"/>
      <c r="R5" s="4"/>
      <c r="S5" s="161"/>
      <c r="T5" s="161"/>
      <c r="U5" s="161"/>
      <c r="V5" s="161"/>
      <c r="W5" s="161"/>
      <c r="X5" s="161"/>
      <c r="Y5" s="161"/>
    </row>
    <row r="6" spans="1:26" ht="33.75" customHeight="1">
      <c r="A6" s="15">
        <v>5</v>
      </c>
      <c r="B6" s="2" t="s">
        <v>4864</v>
      </c>
      <c r="C6" s="419">
        <v>40310</v>
      </c>
      <c r="D6" s="113" t="s">
        <v>4865</v>
      </c>
      <c r="E6" s="113" t="s">
        <v>4857</v>
      </c>
      <c r="F6" s="4"/>
      <c r="G6" s="161"/>
      <c r="H6" s="161"/>
      <c r="I6" s="161"/>
      <c r="J6" s="161"/>
      <c r="K6" s="4"/>
      <c r="L6" s="4"/>
      <c r="M6" s="4"/>
      <c r="N6" s="4"/>
      <c r="O6" s="4"/>
      <c r="P6" s="161"/>
      <c r="Q6" s="161"/>
      <c r="R6" s="4"/>
      <c r="S6" s="161"/>
      <c r="T6" s="161"/>
      <c r="U6" s="161"/>
      <c r="V6" s="161"/>
      <c r="W6" s="161"/>
      <c r="X6" s="161"/>
      <c r="Y6" s="161"/>
    </row>
    <row r="7" spans="1:26" ht="33.75" customHeight="1">
      <c r="A7" s="15">
        <v>6</v>
      </c>
      <c r="B7" s="2" t="s">
        <v>4866</v>
      </c>
      <c r="C7" s="419">
        <v>40312</v>
      </c>
      <c r="D7" s="113" t="s">
        <v>4867</v>
      </c>
      <c r="E7" s="113" t="s">
        <v>4857</v>
      </c>
      <c r="F7" s="4"/>
      <c r="G7" s="161"/>
      <c r="H7" s="161"/>
      <c r="I7" s="161"/>
      <c r="J7" s="161"/>
      <c r="K7" s="4"/>
      <c r="L7" s="4"/>
      <c r="M7" s="4"/>
      <c r="N7" s="4"/>
      <c r="O7" s="4"/>
      <c r="P7" s="161"/>
      <c r="Q7" s="161"/>
      <c r="R7" s="4"/>
      <c r="S7" s="161"/>
      <c r="T7" s="161"/>
      <c r="U7" s="161"/>
      <c r="V7" s="161"/>
      <c r="W7" s="161"/>
      <c r="X7" s="161"/>
      <c r="Y7" s="161"/>
    </row>
    <row r="8" spans="1:26" ht="33.75" customHeight="1">
      <c r="A8" s="15">
        <v>7</v>
      </c>
      <c r="B8" s="2" t="s">
        <v>4868</v>
      </c>
      <c r="C8" s="419">
        <v>40334</v>
      </c>
      <c r="D8" s="113" t="s">
        <v>4869</v>
      </c>
      <c r="E8" s="113" t="s">
        <v>4857</v>
      </c>
      <c r="F8" s="4"/>
      <c r="G8" s="161"/>
      <c r="H8" s="161"/>
      <c r="I8" s="161"/>
      <c r="J8" s="161"/>
      <c r="K8" s="4"/>
      <c r="L8" s="4"/>
      <c r="M8" s="4"/>
      <c r="N8" s="4"/>
      <c r="O8" s="4"/>
      <c r="P8" s="161"/>
      <c r="Q8" s="161"/>
      <c r="R8" s="4"/>
      <c r="S8" s="161"/>
      <c r="T8" s="161"/>
      <c r="U8" s="161"/>
      <c r="V8" s="161"/>
      <c r="W8" s="161"/>
      <c r="X8" s="161"/>
      <c r="Y8" s="161"/>
    </row>
    <row r="9" spans="1:26" ht="33.75" customHeight="1">
      <c r="A9" s="15">
        <v>8</v>
      </c>
      <c r="B9" s="2" t="s">
        <v>4870</v>
      </c>
      <c r="C9" s="419">
        <v>40339</v>
      </c>
      <c r="D9" s="113" t="s">
        <v>4871</v>
      </c>
      <c r="E9" s="113" t="s">
        <v>4857</v>
      </c>
      <c r="F9" s="4"/>
      <c r="G9" s="161"/>
      <c r="H9" s="161"/>
      <c r="I9" s="161"/>
      <c r="J9" s="161"/>
      <c r="K9" s="4"/>
      <c r="L9" s="4"/>
      <c r="M9" s="4"/>
      <c r="N9" s="4"/>
      <c r="O9" s="4"/>
      <c r="P9" s="161"/>
      <c r="Q9" s="161"/>
      <c r="R9" s="4"/>
      <c r="S9" s="161"/>
      <c r="T9" s="161"/>
      <c r="U9" s="161"/>
      <c r="V9" s="161"/>
      <c r="W9" s="161"/>
      <c r="X9" s="161"/>
      <c r="Y9" s="161"/>
    </row>
    <row r="10" spans="1:26" ht="33.75" customHeight="1">
      <c r="A10" s="15">
        <v>9</v>
      </c>
      <c r="B10" s="2" t="s">
        <v>4872</v>
      </c>
      <c r="C10" s="419">
        <v>40352</v>
      </c>
      <c r="D10" s="113" t="s">
        <v>4873</v>
      </c>
      <c r="E10" s="113" t="s">
        <v>4857</v>
      </c>
      <c r="F10" s="4"/>
      <c r="G10" s="161"/>
      <c r="H10" s="161"/>
      <c r="I10" s="161"/>
      <c r="J10" s="161"/>
      <c r="K10" s="4"/>
      <c r="L10" s="4"/>
      <c r="M10" s="4"/>
      <c r="N10" s="4"/>
      <c r="O10" s="4"/>
      <c r="P10" s="161"/>
      <c r="Q10" s="161"/>
      <c r="R10" s="4"/>
      <c r="S10" s="161"/>
      <c r="T10" s="161"/>
      <c r="U10" s="161"/>
      <c r="V10" s="161"/>
      <c r="W10" s="161"/>
      <c r="X10" s="161"/>
      <c r="Y10" s="161"/>
    </row>
    <row r="11" spans="1:26" ht="33.75" customHeight="1">
      <c r="A11" s="4"/>
      <c r="B11" s="5"/>
      <c r="C11" s="4"/>
      <c r="D11" s="4"/>
      <c r="E11" s="161"/>
      <c r="F11" s="4"/>
      <c r="G11" s="4"/>
      <c r="H11" s="4"/>
      <c r="I11" s="4"/>
      <c r="J11" s="4"/>
      <c r="K11" s="4"/>
      <c r="L11" s="4"/>
      <c r="M11" s="4"/>
      <c r="N11" s="4"/>
      <c r="O11" s="4"/>
      <c r="P11" s="4"/>
      <c r="Q11" s="4"/>
      <c r="R11" s="4"/>
      <c r="S11" s="4"/>
      <c r="T11" s="4"/>
      <c r="U11" s="4"/>
      <c r="V11" s="4"/>
      <c r="W11" s="4"/>
      <c r="X11" s="4"/>
      <c r="Y11" s="4"/>
    </row>
    <row r="12" spans="1:26" ht="33.75" customHeight="1">
      <c r="A12" s="4"/>
      <c r="B12" s="5"/>
      <c r="C12" s="4"/>
      <c r="D12" s="4"/>
      <c r="E12" s="161"/>
      <c r="F12" s="4"/>
      <c r="G12" s="4"/>
      <c r="H12" s="4"/>
      <c r="I12" s="4"/>
      <c r="J12" s="4"/>
      <c r="K12" s="4"/>
      <c r="L12" s="4"/>
      <c r="M12" s="4"/>
      <c r="N12" s="4"/>
      <c r="O12" s="4"/>
      <c r="P12" s="4"/>
      <c r="Q12" s="4"/>
      <c r="R12" s="4"/>
      <c r="S12" s="4"/>
      <c r="T12" s="4"/>
      <c r="U12" s="4"/>
      <c r="V12" s="4"/>
      <c r="W12" s="4"/>
      <c r="X12" s="4"/>
      <c r="Y12" s="4"/>
    </row>
    <row r="13" spans="1:26" ht="33.75" customHeight="1">
      <c r="A13" s="4"/>
      <c r="B13" s="5"/>
      <c r="C13" s="4"/>
      <c r="D13" s="4"/>
      <c r="E13" s="161"/>
      <c r="F13" s="4"/>
      <c r="G13" s="4"/>
      <c r="H13" s="4"/>
      <c r="I13" s="4"/>
      <c r="J13" s="4"/>
      <c r="K13" s="4"/>
      <c r="L13" s="4"/>
      <c r="M13" s="4"/>
      <c r="N13" s="4"/>
      <c r="O13" s="4"/>
      <c r="P13" s="4"/>
      <c r="Q13" s="4"/>
      <c r="R13" s="4"/>
      <c r="S13" s="4"/>
      <c r="T13" s="4"/>
      <c r="U13" s="4"/>
      <c r="V13" s="4"/>
      <c r="W13" s="4"/>
      <c r="X13" s="4"/>
      <c r="Y13" s="4"/>
    </row>
    <row r="14" spans="1:26" ht="33.75" customHeight="1">
      <c r="A14" s="4"/>
      <c r="B14" s="5"/>
      <c r="C14" s="4"/>
      <c r="D14" s="4"/>
      <c r="E14" s="161"/>
      <c r="F14" s="4"/>
      <c r="G14" s="4"/>
      <c r="H14" s="4"/>
      <c r="I14" s="4"/>
      <c r="J14" s="4"/>
      <c r="K14" s="4"/>
      <c r="L14" s="4"/>
      <c r="M14" s="4"/>
      <c r="N14" s="4"/>
      <c r="O14" s="4"/>
      <c r="P14" s="4"/>
      <c r="Q14" s="4"/>
      <c r="R14" s="4"/>
      <c r="S14" s="4"/>
      <c r="T14" s="4"/>
      <c r="U14" s="4"/>
      <c r="V14" s="4"/>
      <c r="W14" s="4"/>
      <c r="X14" s="4"/>
      <c r="Y14" s="4"/>
    </row>
    <row r="15" spans="1:26" ht="33.75" customHeight="1">
      <c r="A15" s="4"/>
      <c r="B15" s="5"/>
      <c r="C15" s="4"/>
      <c r="D15" s="4"/>
      <c r="E15" s="161"/>
      <c r="F15" s="4"/>
      <c r="G15" s="4"/>
      <c r="H15" s="4"/>
      <c r="I15" s="4"/>
      <c r="J15" s="4"/>
      <c r="K15" s="4"/>
      <c r="L15" s="4"/>
      <c r="M15" s="4"/>
      <c r="N15" s="4"/>
      <c r="O15" s="4"/>
      <c r="P15" s="4"/>
      <c r="Q15" s="4"/>
      <c r="R15" s="4"/>
      <c r="S15" s="4"/>
      <c r="T15" s="4"/>
      <c r="U15" s="4"/>
      <c r="V15" s="4"/>
      <c r="W15" s="4"/>
      <c r="X15" s="4"/>
      <c r="Y15" s="4"/>
    </row>
    <row r="16" spans="1:26" ht="33.75" customHeight="1">
      <c r="A16" s="4"/>
      <c r="B16" s="5"/>
      <c r="C16" s="4"/>
      <c r="D16" s="4"/>
      <c r="E16" s="161"/>
      <c r="F16" s="4"/>
      <c r="G16" s="4"/>
      <c r="H16" s="4"/>
      <c r="I16" s="4"/>
      <c r="J16" s="4"/>
      <c r="K16" s="4"/>
      <c r="L16" s="4"/>
      <c r="M16" s="4"/>
      <c r="N16" s="4"/>
      <c r="O16" s="4"/>
      <c r="P16" s="4"/>
      <c r="Q16" s="4"/>
      <c r="R16" s="4"/>
      <c r="S16" s="4"/>
      <c r="T16" s="4"/>
      <c r="U16" s="4"/>
      <c r="V16" s="4"/>
      <c r="W16" s="4"/>
      <c r="X16" s="4"/>
      <c r="Y16" s="4"/>
    </row>
    <row r="17" spans="1:25" ht="33.75" customHeight="1">
      <c r="A17" s="4"/>
      <c r="B17" s="5"/>
      <c r="C17" s="4"/>
      <c r="D17" s="4"/>
      <c r="E17" s="161"/>
      <c r="F17" s="4"/>
      <c r="G17" s="4"/>
      <c r="H17" s="4"/>
      <c r="I17" s="4"/>
      <c r="J17" s="4"/>
      <c r="K17" s="4"/>
      <c r="L17" s="4"/>
      <c r="M17" s="4"/>
      <c r="N17" s="4"/>
      <c r="O17" s="4"/>
      <c r="P17" s="4"/>
      <c r="Q17" s="4"/>
      <c r="R17" s="4"/>
      <c r="S17" s="4"/>
      <c r="T17" s="4"/>
      <c r="U17" s="4"/>
      <c r="V17" s="4"/>
      <c r="W17" s="4"/>
      <c r="X17" s="4"/>
      <c r="Y17" s="4"/>
    </row>
    <row r="18" spans="1:25" ht="33.75" customHeight="1">
      <c r="A18" s="4"/>
      <c r="B18" s="5"/>
      <c r="C18" s="4"/>
      <c r="D18" s="4"/>
      <c r="E18" s="161"/>
      <c r="F18" s="4"/>
      <c r="G18" s="4"/>
      <c r="H18" s="4"/>
      <c r="I18" s="4"/>
      <c r="J18" s="4"/>
      <c r="K18" s="4"/>
      <c r="L18" s="4"/>
      <c r="M18" s="4"/>
      <c r="N18" s="4"/>
      <c r="O18" s="4"/>
      <c r="P18" s="4"/>
      <c r="Q18" s="4"/>
      <c r="R18" s="4"/>
      <c r="S18" s="4"/>
      <c r="T18" s="4"/>
      <c r="U18" s="4"/>
      <c r="V18" s="4"/>
      <c r="W18" s="4"/>
      <c r="X18" s="4"/>
      <c r="Y18" s="4"/>
    </row>
    <row r="19" spans="1:25" ht="33.75" customHeight="1">
      <c r="A19" s="4"/>
      <c r="B19" s="5"/>
      <c r="C19" s="4"/>
      <c r="D19" s="4"/>
      <c r="E19" s="161"/>
      <c r="F19" s="4"/>
      <c r="G19" s="4"/>
      <c r="H19" s="4"/>
      <c r="I19" s="4"/>
      <c r="J19" s="4"/>
      <c r="K19" s="4"/>
      <c r="L19" s="4"/>
      <c r="M19" s="4"/>
      <c r="N19" s="4"/>
      <c r="O19" s="4"/>
      <c r="P19" s="4"/>
      <c r="Q19" s="4"/>
      <c r="R19" s="4"/>
      <c r="S19" s="4"/>
      <c r="T19" s="4"/>
      <c r="U19" s="4"/>
      <c r="V19" s="4"/>
      <c r="W19" s="4"/>
      <c r="X19" s="4"/>
      <c r="Y19" s="4"/>
    </row>
    <row r="20" spans="1:25" ht="33.75" customHeight="1">
      <c r="A20" s="4"/>
      <c r="B20" s="5"/>
      <c r="C20" s="4"/>
      <c r="D20" s="4"/>
      <c r="E20" s="161"/>
      <c r="F20" s="4"/>
      <c r="G20" s="4"/>
      <c r="H20" s="4"/>
      <c r="I20" s="4"/>
      <c r="J20" s="4"/>
      <c r="K20" s="4"/>
      <c r="L20" s="4"/>
      <c r="M20" s="4"/>
      <c r="N20" s="4"/>
      <c r="O20" s="4"/>
      <c r="P20" s="4"/>
      <c r="Q20" s="4"/>
      <c r="R20" s="4"/>
      <c r="S20" s="4"/>
      <c r="T20" s="4"/>
      <c r="U20" s="4"/>
      <c r="V20" s="4"/>
      <c r="W20" s="4"/>
      <c r="X20" s="4"/>
      <c r="Y20" s="4"/>
    </row>
    <row r="21" spans="1:25" ht="33.75" customHeight="1">
      <c r="A21" s="4"/>
      <c r="B21" s="5"/>
      <c r="C21" s="4"/>
      <c r="D21" s="4"/>
      <c r="E21" s="161"/>
      <c r="F21" s="4"/>
      <c r="G21" s="4"/>
      <c r="H21" s="4"/>
      <c r="I21" s="4"/>
      <c r="J21" s="4"/>
      <c r="K21" s="4"/>
      <c r="L21" s="4"/>
      <c r="M21" s="4"/>
      <c r="N21" s="4"/>
      <c r="O21" s="4"/>
      <c r="P21" s="4"/>
      <c r="Q21" s="4"/>
      <c r="R21" s="4"/>
      <c r="S21" s="4"/>
      <c r="T21" s="4"/>
      <c r="U21" s="4"/>
      <c r="V21" s="4"/>
      <c r="W21" s="4"/>
      <c r="X21" s="4"/>
      <c r="Y21" s="4"/>
    </row>
    <row r="22" spans="1:25" ht="33.75" customHeight="1">
      <c r="A22" s="4"/>
      <c r="B22" s="5"/>
      <c r="C22" s="4"/>
      <c r="D22" s="4"/>
      <c r="E22" s="161"/>
      <c r="F22" s="4"/>
      <c r="G22" s="4"/>
      <c r="H22" s="4"/>
      <c r="I22" s="4"/>
      <c r="J22" s="4"/>
      <c r="K22" s="4"/>
      <c r="L22" s="4"/>
      <c r="M22" s="4"/>
      <c r="N22" s="4"/>
      <c r="O22" s="4"/>
      <c r="P22" s="4"/>
      <c r="Q22" s="4"/>
      <c r="R22" s="4"/>
      <c r="S22" s="4"/>
      <c r="T22" s="4"/>
      <c r="U22" s="4"/>
      <c r="V22" s="4"/>
      <c r="W22" s="4"/>
      <c r="X22" s="4"/>
      <c r="Y22" s="4"/>
    </row>
    <row r="23" spans="1:25" ht="33.75" customHeight="1">
      <c r="A23" s="4"/>
      <c r="B23" s="5"/>
      <c r="C23" s="4"/>
      <c r="D23" s="4"/>
      <c r="E23" s="161"/>
      <c r="F23" s="4"/>
      <c r="G23" s="4"/>
      <c r="H23" s="4"/>
      <c r="I23" s="4"/>
      <c r="J23" s="4"/>
      <c r="K23" s="4"/>
      <c r="L23" s="4"/>
      <c r="M23" s="4"/>
      <c r="N23" s="4"/>
      <c r="O23" s="4"/>
      <c r="P23" s="4"/>
      <c r="Q23" s="4"/>
      <c r="R23" s="4"/>
      <c r="S23" s="4"/>
      <c r="T23" s="4"/>
      <c r="U23" s="4"/>
      <c r="V23" s="4"/>
      <c r="W23" s="4"/>
      <c r="X23" s="4"/>
      <c r="Y23" s="4"/>
    </row>
    <row r="24" spans="1:25" ht="33.75" customHeight="1">
      <c r="A24" s="4"/>
      <c r="B24" s="5"/>
      <c r="C24" s="4"/>
      <c r="D24" s="4"/>
      <c r="E24" s="161"/>
      <c r="F24" s="4"/>
      <c r="G24" s="4"/>
      <c r="H24" s="4"/>
      <c r="I24" s="4"/>
      <c r="J24" s="4"/>
      <c r="K24" s="4"/>
      <c r="L24" s="4"/>
      <c r="M24" s="4"/>
      <c r="N24" s="4"/>
      <c r="O24" s="4"/>
      <c r="P24" s="4"/>
      <c r="Q24" s="4"/>
      <c r="R24" s="4"/>
      <c r="S24" s="4"/>
      <c r="T24" s="4"/>
      <c r="U24" s="4"/>
      <c r="V24" s="4"/>
      <c r="W24" s="4"/>
      <c r="X24" s="4"/>
      <c r="Y24" s="4"/>
    </row>
    <row r="25" spans="1:25" ht="33.75" customHeight="1">
      <c r="A25" s="4"/>
      <c r="B25" s="5"/>
      <c r="C25" s="4"/>
      <c r="D25" s="4"/>
      <c r="E25" s="161"/>
      <c r="F25" s="4"/>
      <c r="G25" s="4"/>
      <c r="H25" s="4"/>
      <c r="I25" s="4"/>
      <c r="J25" s="4"/>
      <c r="K25" s="4"/>
      <c r="L25" s="4"/>
      <c r="M25" s="4"/>
      <c r="N25" s="4"/>
      <c r="O25" s="4"/>
      <c r="P25" s="4"/>
      <c r="Q25" s="4"/>
      <c r="R25" s="4"/>
      <c r="S25" s="4"/>
      <c r="T25" s="4"/>
      <c r="U25" s="4"/>
      <c r="V25" s="4"/>
      <c r="W25" s="4"/>
      <c r="X25" s="4"/>
      <c r="Y25" s="4"/>
    </row>
    <row r="26" spans="1:25" ht="33.75" customHeight="1">
      <c r="A26" s="4"/>
      <c r="B26" s="5"/>
      <c r="C26" s="4"/>
      <c r="D26" s="4"/>
      <c r="E26" s="161"/>
      <c r="F26" s="4"/>
      <c r="G26" s="4"/>
      <c r="H26" s="4"/>
      <c r="I26" s="4"/>
      <c r="J26" s="4"/>
      <c r="K26" s="4"/>
      <c r="L26" s="4"/>
      <c r="M26" s="4"/>
      <c r="N26" s="4"/>
      <c r="O26" s="4"/>
      <c r="P26" s="4"/>
      <c r="Q26" s="4"/>
      <c r="R26" s="4"/>
      <c r="S26" s="4"/>
      <c r="T26" s="4"/>
      <c r="U26" s="4"/>
      <c r="V26" s="4"/>
      <c r="W26" s="4"/>
      <c r="X26" s="4"/>
      <c r="Y26" s="4"/>
    </row>
    <row r="27" spans="1:25" ht="33.75" customHeight="1">
      <c r="A27" s="4"/>
      <c r="B27" s="5"/>
      <c r="C27" s="4"/>
      <c r="D27" s="4"/>
      <c r="E27" s="161"/>
      <c r="F27" s="4"/>
      <c r="G27" s="4"/>
      <c r="H27" s="4"/>
      <c r="I27" s="4"/>
      <c r="J27" s="4"/>
      <c r="K27" s="4"/>
      <c r="L27" s="4"/>
      <c r="M27" s="4"/>
      <c r="N27" s="4"/>
      <c r="O27" s="4"/>
      <c r="P27" s="4"/>
      <c r="Q27" s="4"/>
      <c r="R27" s="4"/>
      <c r="S27" s="4"/>
      <c r="T27" s="4"/>
      <c r="U27" s="4"/>
      <c r="V27" s="4"/>
      <c r="W27" s="4"/>
      <c r="X27" s="4"/>
      <c r="Y27" s="4"/>
    </row>
    <row r="28" spans="1:25" ht="33.75" customHeight="1">
      <c r="A28" s="4"/>
      <c r="B28" s="5"/>
      <c r="C28" s="4"/>
      <c r="D28" s="4"/>
      <c r="E28" s="161"/>
      <c r="F28" s="4"/>
      <c r="G28" s="4"/>
      <c r="H28" s="4"/>
      <c r="I28" s="4"/>
      <c r="J28" s="4"/>
      <c r="K28" s="4"/>
      <c r="L28" s="4"/>
      <c r="M28" s="4"/>
      <c r="N28" s="4"/>
      <c r="O28" s="4"/>
      <c r="P28" s="4"/>
      <c r="Q28" s="4"/>
      <c r="R28" s="4"/>
      <c r="S28" s="4"/>
      <c r="T28" s="4"/>
      <c r="U28" s="4"/>
      <c r="V28" s="4"/>
      <c r="W28" s="4"/>
      <c r="X28" s="4"/>
      <c r="Y28" s="4"/>
    </row>
    <row r="29" spans="1:25" ht="33.75" customHeight="1">
      <c r="A29" s="4"/>
      <c r="B29" s="5"/>
      <c r="C29" s="4"/>
      <c r="D29" s="4"/>
      <c r="E29" s="161"/>
      <c r="F29" s="4"/>
      <c r="G29" s="4"/>
      <c r="H29" s="4"/>
      <c r="I29" s="4"/>
      <c r="J29" s="4"/>
      <c r="K29" s="4"/>
      <c r="L29" s="4"/>
      <c r="M29" s="4"/>
      <c r="N29" s="4"/>
      <c r="O29" s="4"/>
      <c r="P29" s="4"/>
      <c r="Q29" s="4"/>
      <c r="R29" s="4"/>
      <c r="S29" s="4"/>
      <c r="T29" s="4"/>
      <c r="U29" s="4"/>
      <c r="V29" s="4"/>
      <c r="W29" s="4"/>
      <c r="X29" s="4"/>
      <c r="Y29" s="4"/>
    </row>
    <row r="30" spans="1:25" ht="33.75" customHeight="1">
      <c r="A30" s="4"/>
      <c r="B30" s="5"/>
      <c r="C30" s="4"/>
      <c r="D30" s="4"/>
      <c r="E30" s="161"/>
      <c r="F30" s="4"/>
      <c r="G30" s="4"/>
      <c r="H30" s="4"/>
      <c r="I30" s="4"/>
      <c r="J30" s="4"/>
      <c r="K30" s="4"/>
      <c r="L30" s="4"/>
      <c r="M30" s="4"/>
      <c r="N30" s="4"/>
      <c r="O30" s="4"/>
      <c r="P30" s="4"/>
      <c r="Q30" s="4"/>
      <c r="R30" s="4"/>
      <c r="S30" s="4"/>
      <c r="T30" s="4"/>
      <c r="U30" s="4"/>
      <c r="V30" s="4"/>
      <c r="W30" s="4"/>
      <c r="X30" s="4"/>
      <c r="Y30" s="4"/>
    </row>
    <row r="31" spans="1:25" ht="33.75" customHeight="1">
      <c r="A31" s="4"/>
      <c r="B31" s="5"/>
      <c r="C31" s="4"/>
      <c r="D31" s="4"/>
      <c r="E31" s="161"/>
      <c r="F31" s="4"/>
      <c r="G31" s="4"/>
      <c r="H31" s="4"/>
      <c r="I31" s="4"/>
      <c r="J31" s="4"/>
      <c r="K31" s="4"/>
      <c r="L31" s="4"/>
      <c r="M31" s="4"/>
      <c r="N31" s="4"/>
      <c r="O31" s="4"/>
      <c r="P31" s="4"/>
      <c r="Q31" s="4"/>
      <c r="R31" s="4"/>
      <c r="S31" s="4"/>
      <c r="T31" s="4"/>
      <c r="U31" s="4"/>
      <c r="V31" s="4"/>
      <c r="W31" s="4"/>
      <c r="X31" s="4"/>
      <c r="Y31" s="4"/>
    </row>
    <row r="32" spans="1:25" ht="33.75" customHeight="1">
      <c r="A32" s="4"/>
      <c r="B32" s="5"/>
      <c r="C32" s="4"/>
      <c r="D32" s="4"/>
      <c r="E32" s="161"/>
      <c r="F32" s="4"/>
      <c r="G32" s="4"/>
      <c r="H32" s="4"/>
      <c r="I32" s="4"/>
      <c r="J32" s="4"/>
      <c r="K32" s="4"/>
      <c r="L32" s="4"/>
      <c r="M32" s="4"/>
      <c r="N32" s="4"/>
      <c r="O32" s="4"/>
      <c r="P32" s="4"/>
      <c r="Q32" s="4"/>
      <c r="R32" s="4"/>
      <c r="S32" s="4"/>
      <c r="T32" s="4"/>
      <c r="U32" s="4"/>
      <c r="V32" s="4"/>
      <c r="W32" s="4"/>
      <c r="X32" s="4"/>
      <c r="Y32" s="4"/>
    </row>
    <row r="33" spans="1:25" ht="33.75" customHeight="1">
      <c r="A33" s="4"/>
      <c r="B33" s="5"/>
      <c r="C33" s="4"/>
      <c r="D33" s="4"/>
      <c r="E33" s="161"/>
      <c r="F33" s="4"/>
      <c r="G33" s="4"/>
      <c r="H33" s="4"/>
      <c r="I33" s="4"/>
      <c r="J33" s="4"/>
      <c r="K33" s="4"/>
      <c r="L33" s="4"/>
      <c r="M33" s="4"/>
      <c r="N33" s="4"/>
      <c r="O33" s="4"/>
      <c r="P33" s="4"/>
      <c r="Q33" s="4"/>
      <c r="R33" s="4"/>
      <c r="S33" s="4"/>
      <c r="T33" s="4"/>
      <c r="U33" s="4"/>
      <c r="V33" s="4"/>
      <c r="W33" s="4"/>
      <c r="X33" s="4"/>
      <c r="Y33" s="4"/>
    </row>
    <row r="34" spans="1:25" ht="33.75" customHeight="1">
      <c r="A34" s="4"/>
      <c r="B34" s="5"/>
      <c r="C34" s="4"/>
      <c r="D34" s="4"/>
      <c r="E34" s="161"/>
      <c r="F34" s="4"/>
      <c r="G34" s="4"/>
      <c r="H34" s="4"/>
      <c r="I34" s="4"/>
      <c r="J34" s="4"/>
      <c r="K34" s="4"/>
      <c r="L34" s="4"/>
      <c r="M34" s="4"/>
      <c r="N34" s="4"/>
      <c r="O34" s="4"/>
      <c r="P34" s="4"/>
      <c r="Q34" s="4"/>
      <c r="R34" s="4"/>
      <c r="S34" s="4"/>
      <c r="T34" s="4"/>
      <c r="U34" s="4"/>
      <c r="V34" s="4"/>
      <c r="W34" s="4"/>
      <c r="X34" s="4"/>
      <c r="Y34" s="4"/>
    </row>
    <row r="35" spans="1:25" ht="33.75" customHeight="1">
      <c r="A35" s="4"/>
      <c r="B35" s="5"/>
      <c r="C35" s="4"/>
      <c r="D35" s="4"/>
      <c r="E35" s="161"/>
      <c r="F35" s="4"/>
      <c r="G35" s="4"/>
      <c r="H35" s="4"/>
      <c r="I35" s="4"/>
      <c r="J35" s="4"/>
      <c r="K35" s="4"/>
      <c r="L35" s="4"/>
      <c r="M35" s="4"/>
      <c r="N35" s="4"/>
      <c r="O35" s="4"/>
      <c r="P35" s="4"/>
      <c r="Q35" s="4"/>
      <c r="R35" s="4"/>
      <c r="S35" s="4"/>
      <c r="T35" s="4"/>
      <c r="U35" s="4"/>
      <c r="V35" s="4"/>
      <c r="W35" s="4"/>
      <c r="X35" s="4"/>
      <c r="Y35" s="4"/>
    </row>
    <row r="36" spans="1:25" ht="33.75" customHeight="1">
      <c r="A36" s="4"/>
      <c r="B36" s="5"/>
      <c r="C36" s="4"/>
      <c r="D36" s="4"/>
      <c r="E36" s="161"/>
      <c r="F36" s="4"/>
      <c r="G36" s="4"/>
      <c r="H36" s="4"/>
      <c r="I36" s="4"/>
      <c r="J36" s="4"/>
      <c r="K36" s="4"/>
      <c r="L36" s="4"/>
      <c r="M36" s="4"/>
      <c r="N36" s="4"/>
      <c r="O36" s="4"/>
      <c r="P36" s="4"/>
      <c r="Q36" s="4"/>
      <c r="R36" s="4"/>
      <c r="S36" s="4"/>
      <c r="T36" s="4"/>
      <c r="U36" s="4"/>
      <c r="V36" s="4"/>
      <c r="W36" s="4"/>
      <c r="X36" s="4"/>
      <c r="Y36" s="4"/>
    </row>
    <row r="37" spans="1:25" ht="33.75" customHeight="1">
      <c r="A37" s="4"/>
      <c r="B37" s="5"/>
      <c r="C37" s="4"/>
      <c r="D37" s="4"/>
      <c r="E37" s="161"/>
      <c r="F37" s="4"/>
      <c r="G37" s="4"/>
      <c r="H37" s="4"/>
      <c r="I37" s="4"/>
      <c r="J37" s="4"/>
      <c r="K37" s="4"/>
      <c r="L37" s="4"/>
      <c r="M37" s="4"/>
      <c r="N37" s="4"/>
      <c r="O37" s="4"/>
      <c r="P37" s="4"/>
      <c r="Q37" s="4"/>
      <c r="R37" s="4"/>
      <c r="S37" s="4"/>
      <c r="T37" s="4"/>
      <c r="U37" s="4"/>
      <c r="V37" s="4"/>
      <c r="W37" s="4"/>
      <c r="X37" s="4"/>
      <c r="Y37" s="4"/>
    </row>
    <row r="38" spans="1:25" ht="33.75" customHeight="1">
      <c r="A38" s="4"/>
      <c r="B38" s="5"/>
      <c r="C38" s="4"/>
      <c r="D38" s="4"/>
      <c r="E38" s="161"/>
      <c r="F38" s="4"/>
      <c r="G38" s="4"/>
      <c r="H38" s="4"/>
      <c r="I38" s="4"/>
      <c r="J38" s="4"/>
      <c r="K38" s="4"/>
      <c r="L38" s="4"/>
      <c r="M38" s="4"/>
      <c r="N38" s="4"/>
      <c r="O38" s="4"/>
      <c r="P38" s="4"/>
      <c r="Q38" s="4"/>
      <c r="R38" s="4"/>
      <c r="S38" s="4"/>
      <c r="T38" s="4"/>
      <c r="U38" s="4"/>
      <c r="V38" s="4"/>
      <c r="W38" s="4"/>
      <c r="X38" s="4"/>
      <c r="Y38" s="4"/>
    </row>
    <row r="39" spans="1:25" ht="33.75" customHeight="1">
      <c r="A39" s="4"/>
      <c r="B39" s="5"/>
      <c r="C39" s="4"/>
      <c r="D39" s="4"/>
      <c r="E39" s="161"/>
      <c r="F39" s="4"/>
      <c r="G39" s="4"/>
      <c r="H39" s="4"/>
      <c r="I39" s="4"/>
      <c r="J39" s="4"/>
      <c r="K39" s="4"/>
      <c r="L39" s="4"/>
      <c r="M39" s="4"/>
      <c r="N39" s="4"/>
      <c r="O39" s="4"/>
      <c r="P39" s="4"/>
      <c r="Q39" s="4"/>
      <c r="R39" s="4"/>
      <c r="S39" s="4"/>
      <c r="T39" s="4"/>
      <c r="U39" s="4"/>
      <c r="V39" s="4"/>
      <c r="W39" s="4"/>
      <c r="X39" s="4"/>
      <c r="Y39" s="4"/>
    </row>
    <row r="40" spans="1:25" ht="33.75" customHeight="1">
      <c r="A40" s="4"/>
      <c r="B40" s="5"/>
      <c r="C40" s="4"/>
      <c r="D40" s="4"/>
      <c r="E40" s="161"/>
      <c r="F40" s="4"/>
      <c r="G40" s="4"/>
      <c r="H40" s="4"/>
      <c r="I40" s="4"/>
      <c r="J40" s="4"/>
      <c r="K40" s="4"/>
      <c r="L40" s="4"/>
      <c r="M40" s="4"/>
      <c r="N40" s="4"/>
      <c r="O40" s="4"/>
      <c r="P40" s="4"/>
      <c r="Q40" s="4"/>
      <c r="R40" s="4"/>
      <c r="S40" s="4"/>
      <c r="T40" s="4"/>
      <c r="U40" s="4"/>
      <c r="V40" s="4"/>
      <c r="W40" s="4"/>
      <c r="X40" s="4"/>
      <c r="Y40" s="4"/>
    </row>
    <row r="41" spans="1:25" ht="33.75" customHeight="1">
      <c r="A41" s="4"/>
      <c r="B41" s="5"/>
      <c r="C41" s="4"/>
      <c r="D41" s="4"/>
      <c r="E41" s="161"/>
      <c r="F41" s="4"/>
      <c r="G41" s="4"/>
      <c r="H41" s="4"/>
      <c r="I41" s="4"/>
      <c r="J41" s="4"/>
      <c r="K41" s="4"/>
      <c r="L41" s="4"/>
      <c r="M41" s="4"/>
      <c r="N41" s="4"/>
      <c r="O41" s="4"/>
      <c r="P41" s="4"/>
      <c r="Q41" s="4"/>
      <c r="R41" s="4"/>
      <c r="S41" s="4"/>
      <c r="T41" s="4"/>
      <c r="U41" s="4"/>
      <c r="V41" s="4"/>
      <c r="W41" s="4"/>
      <c r="X41" s="4"/>
      <c r="Y41" s="4"/>
    </row>
    <row r="42" spans="1:25" ht="33.75" customHeight="1">
      <c r="A42" s="4"/>
      <c r="B42" s="5"/>
      <c r="C42" s="4"/>
      <c r="D42" s="4"/>
      <c r="E42" s="161"/>
      <c r="F42" s="4"/>
      <c r="G42" s="4"/>
      <c r="H42" s="4"/>
      <c r="I42" s="4"/>
      <c r="J42" s="4"/>
      <c r="K42" s="4"/>
      <c r="L42" s="4"/>
      <c r="M42" s="4"/>
      <c r="N42" s="4"/>
      <c r="O42" s="4"/>
      <c r="P42" s="4"/>
      <c r="Q42" s="4"/>
      <c r="R42" s="4"/>
      <c r="S42" s="4"/>
      <c r="T42" s="4"/>
      <c r="U42" s="4"/>
      <c r="V42" s="4"/>
      <c r="W42" s="4"/>
      <c r="X42" s="4"/>
      <c r="Y42" s="4"/>
    </row>
    <row r="43" spans="1:25" ht="33.75" customHeight="1">
      <c r="A43" s="4"/>
      <c r="B43" s="5"/>
      <c r="C43" s="4"/>
      <c r="D43" s="4"/>
      <c r="E43" s="161"/>
      <c r="F43" s="4"/>
      <c r="G43" s="4"/>
      <c r="H43" s="4"/>
      <c r="I43" s="4"/>
      <c r="J43" s="4"/>
      <c r="K43" s="4"/>
      <c r="L43" s="4"/>
      <c r="M43" s="4"/>
      <c r="N43" s="4"/>
      <c r="O43" s="4"/>
      <c r="P43" s="4"/>
      <c r="Q43" s="4"/>
      <c r="R43" s="4"/>
      <c r="S43" s="4"/>
      <c r="T43" s="4"/>
      <c r="U43" s="4"/>
      <c r="V43" s="4"/>
      <c r="W43" s="4"/>
      <c r="X43" s="4"/>
      <c r="Y43" s="4"/>
    </row>
    <row r="44" spans="1:25" ht="33.75" customHeight="1">
      <c r="A44" s="4"/>
      <c r="B44" s="5"/>
      <c r="C44" s="4"/>
      <c r="D44" s="4"/>
      <c r="E44" s="161"/>
      <c r="F44" s="4"/>
      <c r="G44" s="4"/>
      <c r="H44" s="4"/>
      <c r="I44" s="4"/>
      <c r="J44" s="4"/>
      <c r="K44" s="4"/>
      <c r="L44" s="4"/>
      <c r="M44" s="4"/>
      <c r="N44" s="4"/>
      <c r="O44" s="4"/>
      <c r="P44" s="4"/>
      <c r="Q44" s="4"/>
      <c r="R44" s="4"/>
      <c r="S44" s="4"/>
      <c r="T44" s="4"/>
      <c r="U44" s="4"/>
      <c r="V44" s="4"/>
      <c r="W44" s="4"/>
      <c r="X44" s="4"/>
      <c r="Y44" s="4"/>
    </row>
    <row r="45" spans="1:25" ht="33.75" customHeight="1">
      <c r="A45" s="4"/>
      <c r="B45" s="5"/>
      <c r="C45" s="4"/>
      <c r="D45" s="4"/>
      <c r="E45" s="161"/>
      <c r="F45" s="4"/>
      <c r="G45" s="4"/>
      <c r="H45" s="4"/>
      <c r="I45" s="4"/>
      <c r="J45" s="4"/>
      <c r="K45" s="4"/>
      <c r="L45" s="4"/>
      <c r="M45" s="4"/>
      <c r="N45" s="4"/>
      <c r="O45" s="4"/>
      <c r="P45" s="4"/>
      <c r="Q45" s="4"/>
      <c r="R45" s="4"/>
      <c r="S45" s="4"/>
      <c r="T45" s="4"/>
      <c r="U45" s="4"/>
      <c r="V45" s="4"/>
      <c r="W45" s="4"/>
      <c r="X45" s="4"/>
      <c r="Y45" s="4"/>
    </row>
    <row r="46" spans="1:25" ht="33.75" customHeight="1">
      <c r="A46" s="4"/>
      <c r="B46" s="5"/>
      <c r="C46" s="4"/>
      <c r="D46" s="4"/>
      <c r="E46" s="161"/>
      <c r="F46" s="4"/>
      <c r="G46" s="4"/>
      <c r="H46" s="4"/>
      <c r="I46" s="4"/>
      <c r="J46" s="4"/>
      <c r="K46" s="4"/>
      <c r="L46" s="4"/>
      <c r="M46" s="4"/>
      <c r="N46" s="4"/>
      <c r="O46" s="4"/>
      <c r="P46" s="4"/>
      <c r="Q46" s="4"/>
      <c r="R46" s="4"/>
      <c r="S46" s="4"/>
      <c r="T46" s="4"/>
      <c r="U46" s="4"/>
      <c r="V46" s="4"/>
      <c r="W46" s="4"/>
      <c r="X46" s="4"/>
      <c r="Y46" s="4"/>
    </row>
    <row r="47" spans="1:25" ht="33.75" customHeight="1">
      <c r="A47" s="4"/>
      <c r="B47" s="5"/>
      <c r="C47" s="4"/>
      <c r="D47" s="4"/>
      <c r="E47" s="161"/>
      <c r="F47" s="4"/>
      <c r="G47" s="4"/>
      <c r="H47" s="4"/>
      <c r="I47" s="4"/>
      <c r="J47" s="4"/>
      <c r="K47" s="4"/>
      <c r="L47" s="4"/>
      <c r="M47" s="4"/>
      <c r="N47" s="4"/>
      <c r="O47" s="4"/>
      <c r="P47" s="4"/>
      <c r="Q47" s="4"/>
      <c r="R47" s="4"/>
      <c r="S47" s="4"/>
      <c r="T47" s="4"/>
      <c r="U47" s="4"/>
      <c r="V47" s="4"/>
      <c r="W47" s="4"/>
      <c r="X47" s="4"/>
      <c r="Y47" s="4"/>
    </row>
    <row r="48" spans="1:25" ht="33.75" customHeight="1">
      <c r="A48" s="4"/>
      <c r="B48" s="5"/>
      <c r="C48" s="4"/>
      <c r="D48" s="4"/>
      <c r="E48" s="161"/>
      <c r="F48" s="4"/>
      <c r="G48" s="4"/>
      <c r="H48" s="4"/>
      <c r="I48" s="4"/>
      <c r="J48" s="4"/>
      <c r="K48" s="4"/>
      <c r="L48" s="4"/>
      <c r="M48" s="4"/>
      <c r="N48" s="4"/>
      <c r="O48" s="4"/>
      <c r="P48" s="4"/>
      <c r="Q48" s="4"/>
      <c r="R48" s="4"/>
      <c r="S48" s="4"/>
      <c r="T48" s="4"/>
      <c r="U48" s="4"/>
      <c r="V48" s="4"/>
      <c r="W48" s="4"/>
      <c r="X48" s="4"/>
      <c r="Y48" s="4"/>
    </row>
    <row r="49" spans="1:25" ht="33.75" customHeight="1">
      <c r="A49" s="4"/>
      <c r="B49" s="5"/>
      <c r="C49" s="4"/>
      <c r="D49" s="4"/>
      <c r="E49" s="161"/>
      <c r="F49" s="4"/>
      <c r="G49" s="4"/>
      <c r="H49" s="4"/>
      <c r="I49" s="4"/>
      <c r="J49" s="4"/>
      <c r="K49" s="4"/>
      <c r="L49" s="4"/>
      <c r="M49" s="4"/>
      <c r="N49" s="4"/>
      <c r="O49" s="4"/>
      <c r="P49" s="4"/>
      <c r="Q49" s="4"/>
      <c r="R49" s="4"/>
      <c r="S49" s="4"/>
      <c r="T49" s="4"/>
      <c r="U49" s="4"/>
      <c r="V49" s="4"/>
      <c r="W49" s="4"/>
      <c r="X49" s="4"/>
      <c r="Y49" s="4"/>
    </row>
    <row r="50" spans="1:25" ht="33.75" customHeight="1">
      <c r="A50" s="4"/>
      <c r="B50" s="5"/>
      <c r="C50" s="4"/>
      <c r="D50" s="4"/>
      <c r="E50" s="161"/>
      <c r="F50" s="4"/>
      <c r="G50" s="4"/>
      <c r="H50" s="4"/>
      <c r="I50" s="4"/>
      <c r="J50" s="4"/>
      <c r="K50" s="4"/>
      <c r="L50" s="4"/>
      <c r="M50" s="4"/>
      <c r="N50" s="4"/>
      <c r="O50" s="4"/>
      <c r="P50" s="4"/>
      <c r="Q50" s="4"/>
      <c r="R50" s="4"/>
      <c r="S50" s="4"/>
      <c r="T50" s="4"/>
      <c r="U50" s="4"/>
      <c r="V50" s="4"/>
      <c r="W50" s="4"/>
      <c r="X50" s="4"/>
      <c r="Y50" s="4"/>
    </row>
    <row r="51" spans="1:25" ht="33.75" customHeight="1">
      <c r="A51" s="4"/>
      <c r="B51" s="5"/>
      <c r="C51" s="4"/>
      <c r="D51" s="4"/>
      <c r="E51" s="161"/>
      <c r="F51" s="4"/>
      <c r="G51" s="4"/>
      <c r="H51" s="4"/>
      <c r="I51" s="4"/>
      <c r="J51" s="4"/>
      <c r="K51" s="4"/>
      <c r="L51" s="4"/>
      <c r="M51" s="4"/>
      <c r="N51" s="4"/>
      <c r="O51" s="4"/>
      <c r="P51" s="4"/>
      <c r="Q51" s="4"/>
      <c r="R51" s="4"/>
      <c r="S51" s="4"/>
      <c r="T51" s="4"/>
      <c r="U51" s="4"/>
      <c r="V51" s="4"/>
      <c r="W51" s="4"/>
      <c r="X51" s="4"/>
      <c r="Y51" s="4"/>
    </row>
    <row r="52" spans="1:25" ht="33.75" customHeight="1">
      <c r="A52" s="4"/>
      <c r="B52" s="5"/>
      <c r="C52" s="4"/>
      <c r="D52" s="4"/>
      <c r="E52" s="161"/>
      <c r="F52" s="4"/>
      <c r="G52" s="4"/>
      <c r="H52" s="4"/>
      <c r="I52" s="4"/>
      <c r="J52" s="4"/>
      <c r="K52" s="4"/>
      <c r="L52" s="4"/>
      <c r="M52" s="4"/>
      <c r="N52" s="4"/>
      <c r="O52" s="4"/>
      <c r="P52" s="4"/>
      <c r="Q52" s="4"/>
      <c r="R52" s="4"/>
      <c r="S52" s="4"/>
      <c r="T52" s="4"/>
      <c r="U52" s="4"/>
      <c r="V52" s="4"/>
      <c r="W52" s="4"/>
      <c r="X52" s="4"/>
      <c r="Y52" s="4"/>
    </row>
    <row r="53" spans="1:25" ht="33.75" customHeight="1">
      <c r="A53" s="4"/>
      <c r="B53" s="5"/>
      <c r="C53" s="4"/>
      <c r="D53" s="4"/>
      <c r="E53" s="161"/>
      <c r="F53" s="4"/>
      <c r="G53" s="4"/>
      <c r="H53" s="4"/>
      <c r="I53" s="4"/>
      <c r="J53" s="4"/>
      <c r="K53" s="4"/>
      <c r="L53" s="4"/>
      <c r="M53" s="4"/>
      <c r="N53" s="4"/>
      <c r="O53" s="4"/>
      <c r="P53" s="4"/>
      <c r="Q53" s="4"/>
      <c r="R53" s="4"/>
      <c r="S53" s="4"/>
      <c r="T53" s="4"/>
      <c r="U53" s="4"/>
      <c r="V53" s="4"/>
      <c r="W53" s="4"/>
      <c r="X53" s="4"/>
      <c r="Y53" s="4"/>
    </row>
    <row r="54" spans="1:25" ht="33.75" customHeight="1">
      <c r="A54" s="4"/>
      <c r="B54" s="5"/>
      <c r="C54" s="4"/>
      <c r="D54" s="4"/>
      <c r="E54" s="161"/>
      <c r="F54" s="4"/>
      <c r="G54" s="4"/>
      <c r="H54" s="4"/>
      <c r="I54" s="4"/>
      <c r="J54" s="4"/>
      <c r="K54" s="4"/>
      <c r="L54" s="4"/>
      <c r="M54" s="4"/>
      <c r="N54" s="4"/>
      <c r="O54" s="4"/>
      <c r="P54" s="4"/>
      <c r="Q54" s="4"/>
      <c r="R54" s="4"/>
      <c r="S54" s="4"/>
      <c r="T54" s="4"/>
      <c r="U54" s="4"/>
      <c r="V54" s="4"/>
      <c r="W54" s="4"/>
      <c r="X54" s="4"/>
      <c r="Y54" s="4"/>
    </row>
    <row r="55" spans="1:25" ht="33.75" customHeight="1">
      <c r="A55" s="4"/>
      <c r="B55" s="5"/>
      <c r="C55" s="4"/>
      <c r="D55" s="4"/>
      <c r="E55" s="161"/>
      <c r="F55" s="4"/>
      <c r="G55" s="4"/>
      <c r="H55" s="4"/>
      <c r="I55" s="4"/>
      <c r="J55" s="4"/>
      <c r="K55" s="4"/>
      <c r="L55" s="4"/>
      <c r="M55" s="4"/>
      <c r="N55" s="4"/>
      <c r="O55" s="4"/>
      <c r="P55" s="4"/>
      <c r="Q55" s="4"/>
      <c r="R55" s="4"/>
      <c r="S55" s="4"/>
      <c r="T55" s="4"/>
      <c r="U55" s="4"/>
      <c r="V55" s="4"/>
      <c r="W55" s="4"/>
      <c r="X55" s="4"/>
      <c r="Y55" s="4"/>
    </row>
    <row r="56" spans="1:25" ht="33.75" customHeight="1">
      <c r="A56" s="4"/>
      <c r="B56" s="5"/>
      <c r="C56" s="4"/>
      <c r="D56" s="4"/>
      <c r="E56" s="161"/>
      <c r="F56" s="4"/>
      <c r="G56" s="4"/>
      <c r="H56" s="4"/>
      <c r="I56" s="4"/>
      <c r="J56" s="4"/>
      <c r="K56" s="4"/>
      <c r="L56" s="4"/>
      <c r="M56" s="4"/>
      <c r="N56" s="4"/>
      <c r="O56" s="4"/>
      <c r="P56" s="4"/>
      <c r="Q56" s="4"/>
      <c r="R56" s="4"/>
      <c r="S56" s="4"/>
      <c r="T56" s="4"/>
      <c r="U56" s="4"/>
      <c r="V56" s="4"/>
      <c r="W56" s="4"/>
      <c r="X56" s="4"/>
      <c r="Y56" s="4"/>
    </row>
    <row r="57" spans="1:25" ht="33.75" customHeight="1">
      <c r="A57" s="4"/>
      <c r="B57" s="5"/>
      <c r="C57" s="4"/>
      <c r="D57" s="4"/>
      <c r="E57" s="161"/>
      <c r="F57" s="4"/>
      <c r="G57" s="4"/>
      <c r="H57" s="4"/>
      <c r="I57" s="4"/>
      <c r="J57" s="4"/>
      <c r="K57" s="4"/>
      <c r="L57" s="4"/>
      <c r="M57" s="4"/>
      <c r="N57" s="4"/>
      <c r="O57" s="4"/>
      <c r="P57" s="4"/>
      <c r="Q57" s="4"/>
      <c r="R57" s="4"/>
      <c r="S57" s="4"/>
      <c r="T57" s="4"/>
      <c r="U57" s="4"/>
      <c r="V57" s="4"/>
      <c r="W57" s="4"/>
      <c r="X57" s="4"/>
      <c r="Y57" s="4"/>
    </row>
    <row r="58" spans="1:25" ht="33.75" customHeight="1">
      <c r="A58" s="4"/>
      <c r="B58" s="5"/>
      <c r="C58" s="4"/>
      <c r="D58" s="4"/>
      <c r="E58" s="161"/>
      <c r="F58" s="4"/>
      <c r="G58" s="4"/>
      <c r="H58" s="4"/>
      <c r="I58" s="4"/>
      <c r="J58" s="4"/>
      <c r="K58" s="4"/>
      <c r="L58" s="4"/>
      <c r="M58" s="4"/>
      <c r="N58" s="4"/>
      <c r="O58" s="4"/>
      <c r="P58" s="4"/>
      <c r="Q58" s="4"/>
      <c r="R58" s="4"/>
      <c r="S58" s="4"/>
      <c r="T58" s="4"/>
      <c r="U58" s="4"/>
      <c r="V58" s="4"/>
      <c r="W58" s="4"/>
      <c r="X58" s="4"/>
      <c r="Y58" s="4"/>
    </row>
    <row r="59" spans="1:25" ht="33.75" customHeight="1">
      <c r="A59" s="4"/>
      <c r="B59" s="5"/>
      <c r="C59" s="4"/>
      <c r="D59" s="4"/>
      <c r="E59" s="161"/>
      <c r="F59" s="4"/>
      <c r="G59" s="4"/>
      <c r="H59" s="4"/>
      <c r="I59" s="4"/>
      <c r="J59" s="4"/>
      <c r="K59" s="4"/>
      <c r="L59" s="4"/>
      <c r="M59" s="4"/>
      <c r="N59" s="4"/>
      <c r="O59" s="4"/>
      <c r="P59" s="4"/>
      <c r="Q59" s="4"/>
      <c r="R59" s="4"/>
      <c r="S59" s="4"/>
      <c r="T59" s="4"/>
      <c r="U59" s="4"/>
      <c r="V59" s="4"/>
      <c r="W59" s="4"/>
      <c r="X59" s="4"/>
      <c r="Y59" s="4"/>
    </row>
    <row r="60" spans="1:25" ht="33.75" customHeight="1">
      <c r="A60" s="4"/>
      <c r="B60" s="5"/>
      <c r="C60" s="4"/>
      <c r="D60" s="4"/>
      <c r="E60" s="161"/>
      <c r="F60" s="4"/>
      <c r="G60" s="4"/>
      <c r="H60" s="4"/>
      <c r="I60" s="4"/>
      <c r="J60" s="4"/>
      <c r="K60" s="4"/>
      <c r="L60" s="4"/>
      <c r="M60" s="4"/>
      <c r="N60" s="4"/>
      <c r="O60" s="4"/>
      <c r="P60" s="4"/>
      <c r="Q60" s="4"/>
      <c r="R60" s="4"/>
      <c r="S60" s="4"/>
      <c r="T60" s="4"/>
      <c r="U60" s="4"/>
      <c r="V60" s="4"/>
      <c r="W60" s="4"/>
      <c r="X60" s="4"/>
      <c r="Y60" s="4"/>
    </row>
    <row r="61" spans="1:25" ht="33.75" customHeight="1">
      <c r="A61" s="4"/>
      <c r="B61" s="5"/>
      <c r="C61" s="4"/>
      <c r="D61" s="4"/>
      <c r="E61" s="161"/>
      <c r="F61" s="4"/>
      <c r="G61" s="4"/>
      <c r="H61" s="4"/>
      <c r="I61" s="4"/>
      <c r="J61" s="4"/>
      <c r="K61" s="4"/>
      <c r="L61" s="4"/>
      <c r="M61" s="4"/>
      <c r="N61" s="4"/>
      <c r="O61" s="4"/>
      <c r="P61" s="4"/>
      <c r="Q61" s="4"/>
      <c r="R61" s="4"/>
      <c r="S61" s="4"/>
      <c r="T61" s="4"/>
      <c r="U61" s="4"/>
      <c r="V61" s="4"/>
      <c r="W61" s="4"/>
      <c r="X61" s="4"/>
      <c r="Y61" s="4"/>
    </row>
    <row r="62" spans="1:25" ht="33.75" customHeight="1">
      <c r="A62" s="4"/>
      <c r="B62" s="5"/>
      <c r="C62" s="4"/>
      <c r="D62" s="4"/>
      <c r="E62" s="161"/>
      <c r="F62" s="4"/>
      <c r="G62" s="4"/>
      <c r="H62" s="4"/>
      <c r="I62" s="4"/>
      <c r="J62" s="4"/>
      <c r="K62" s="4"/>
      <c r="L62" s="4"/>
      <c r="M62" s="4"/>
      <c r="N62" s="4"/>
      <c r="O62" s="4"/>
      <c r="P62" s="4"/>
      <c r="Q62" s="4"/>
      <c r="R62" s="4"/>
      <c r="S62" s="4"/>
      <c r="T62" s="4"/>
      <c r="U62" s="4"/>
      <c r="V62" s="4"/>
      <c r="W62" s="4"/>
      <c r="X62" s="4"/>
      <c r="Y62" s="4"/>
    </row>
    <row r="63" spans="1:25" ht="33.75" customHeight="1">
      <c r="A63" s="4"/>
      <c r="B63" s="5"/>
      <c r="C63" s="4"/>
      <c r="D63" s="4"/>
      <c r="E63" s="161"/>
      <c r="F63" s="4"/>
      <c r="G63" s="4"/>
      <c r="H63" s="4"/>
      <c r="I63" s="4"/>
      <c r="J63" s="4"/>
      <c r="K63" s="4"/>
      <c r="L63" s="4"/>
      <c r="M63" s="4"/>
      <c r="N63" s="4"/>
      <c r="O63" s="4"/>
      <c r="P63" s="4"/>
      <c r="Q63" s="4"/>
      <c r="R63" s="4"/>
      <c r="S63" s="4"/>
      <c r="T63" s="4"/>
      <c r="U63" s="4"/>
      <c r="V63" s="4"/>
      <c r="W63" s="4"/>
      <c r="X63" s="4"/>
      <c r="Y63" s="4"/>
    </row>
    <row r="64" spans="1:25" ht="33.75" customHeight="1">
      <c r="A64" s="4"/>
      <c r="B64" s="5"/>
      <c r="C64" s="4"/>
      <c r="D64" s="4"/>
      <c r="E64" s="161"/>
      <c r="F64" s="4"/>
      <c r="G64" s="4"/>
      <c r="H64" s="4"/>
      <c r="I64" s="4"/>
      <c r="J64" s="4"/>
      <c r="K64" s="4"/>
      <c r="L64" s="4"/>
      <c r="M64" s="4"/>
      <c r="N64" s="4"/>
      <c r="O64" s="4"/>
      <c r="P64" s="4"/>
      <c r="Q64" s="4"/>
      <c r="R64" s="4"/>
      <c r="S64" s="4"/>
      <c r="T64" s="4"/>
      <c r="U64" s="4"/>
      <c r="V64" s="4"/>
      <c r="W64" s="4"/>
      <c r="X64" s="4"/>
      <c r="Y64" s="4"/>
    </row>
    <row r="65" spans="1:25" ht="33.75" customHeight="1">
      <c r="A65" s="4"/>
      <c r="B65" s="5"/>
      <c r="C65" s="4"/>
      <c r="D65" s="4"/>
      <c r="E65" s="161"/>
      <c r="F65" s="4"/>
      <c r="G65" s="4"/>
      <c r="H65" s="4"/>
      <c r="I65" s="4"/>
      <c r="J65" s="4"/>
      <c r="K65" s="4"/>
      <c r="L65" s="4"/>
      <c r="M65" s="4"/>
      <c r="N65" s="4"/>
      <c r="O65" s="4"/>
      <c r="P65" s="4"/>
      <c r="Q65" s="4"/>
      <c r="R65" s="4"/>
      <c r="S65" s="4"/>
      <c r="T65" s="4"/>
      <c r="U65" s="4"/>
      <c r="V65" s="4"/>
      <c r="W65" s="4"/>
      <c r="X65" s="4"/>
      <c r="Y65" s="4"/>
    </row>
    <row r="66" spans="1:25" ht="33.75" customHeight="1">
      <c r="A66" s="4"/>
      <c r="B66" s="5"/>
      <c r="C66" s="4"/>
      <c r="D66" s="4"/>
      <c r="E66" s="161"/>
      <c r="F66" s="4"/>
      <c r="G66" s="4"/>
      <c r="H66" s="4"/>
      <c r="I66" s="4"/>
      <c r="J66" s="4"/>
      <c r="K66" s="4"/>
      <c r="L66" s="4"/>
      <c r="M66" s="4"/>
      <c r="N66" s="4"/>
      <c r="O66" s="4"/>
      <c r="P66" s="4"/>
      <c r="Q66" s="4"/>
      <c r="R66" s="4"/>
      <c r="S66" s="4"/>
      <c r="T66" s="4"/>
      <c r="U66" s="4"/>
      <c r="V66" s="4"/>
      <c r="W66" s="4"/>
      <c r="X66" s="4"/>
      <c r="Y66" s="4"/>
    </row>
    <row r="67" spans="1:25" ht="33.75" customHeight="1">
      <c r="A67" s="4"/>
      <c r="B67" s="5"/>
      <c r="C67" s="4"/>
      <c r="D67" s="4"/>
      <c r="E67" s="161"/>
      <c r="F67" s="4"/>
      <c r="G67" s="4"/>
      <c r="H67" s="4"/>
      <c r="I67" s="4"/>
      <c r="J67" s="4"/>
      <c r="K67" s="4"/>
      <c r="L67" s="4"/>
      <c r="M67" s="4"/>
      <c r="N67" s="4"/>
      <c r="O67" s="4"/>
      <c r="P67" s="4"/>
      <c r="Q67" s="4"/>
      <c r="R67" s="4"/>
      <c r="S67" s="4"/>
      <c r="T67" s="4"/>
      <c r="U67" s="4"/>
      <c r="V67" s="4"/>
      <c r="W67" s="4"/>
      <c r="X67" s="4"/>
      <c r="Y67" s="4"/>
    </row>
    <row r="68" spans="1:25" ht="33.75" customHeight="1">
      <c r="A68" s="4"/>
      <c r="B68" s="5"/>
      <c r="C68" s="4"/>
      <c r="D68" s="4"/>
      <c r="E68" s="161"/>
      <c r="F68" s="4"/>
      <c r="G68" s="4"/>
      <c r="H68" s="4"/>
      <c r="I68" s="4"/>
      <c r="J68" s="4"/>
      <c r="K68" s="4"/>
      <c r="L68" s="4"/>
      <c r="M68" s="4"/>
      <c r="N68" s="4"/>
      <c r="O68" s="4"/>
      <c r="P68" s="4"/>
      <c r="Q68" s="4"/>
      <c r="R68" s="4"/>
      <c r="S68" s="4"/>
      <c r="T68" s="4"/>
      <c r="U68" s="4"/>
      <c r="V68" s="4"/>
      <c r="W68" s="4"/>
      <c r="X68" s="4"/>
      <c r="Y68" s="4"/>
    </row>
    <row r="69" spans="1:25" ht="33.75" customHeight="1">
      <c r="A69" s="4"/>
      <c r="B69" s="5"/>
      <c r="C69" s="4"/>
      <c r="D69" s="4"/>
      <c r="E69" s="161"/>
      <c r="F69" s="4"/>
      <c r="G69" s="4"/>
      <c r="H69" s="4"/>
      <c r="I69" s="4"/>
      <c r="J69" s="4"/>
      <c r="K69" s="4"/>
      <c r="L69" s="4"/>
      <c r="M69" s="4"/>
      <c r="N69" s="4"/>
      <c r="O69" s="4"/>
      <c r="P69" s="4"/>
      <c r="Q69" s="4"/>
      <c r="R69" s="4"/>
      <c r="S69" s="4"/>
      <c r="T69" s="4"/>
      <c r="U69" s="4"/>
      <c r="V69" s="4"/>
      <c r="W69" s="4"/>
      <c r="X69" s="4"/>
      <c r="Y69" s="4"/>
    </row>
    <row r="70" spans="1:25" ht="33.75" customHeight="1">
      <c r="A70" s="4"/>
      <c r="B70" s="5"/>
      <c r="C70" s="4"/>
      <c r="D70" s="4"/>
      <c r="E70" s="161"/>
      <c r="F70" s="4"/>
      <c r="G70" s="4"/>
      <c r="H70" s="4"/>
      <c r="I70" s="4"/>
      <c r="J70" s="4"/>
      <c r="K70" s="4"/>
      <c r="L70" s="4"/>
      <c r="M70" s="4"/>
      <c r="N70" s="4"/>
      <c r="O70" s="4"/>
      <c r="P70" s="4"/>
      <c r="Q70" s="4"/>
      <c r="R70" s="4"/>
      <c r="S70" s="4"/>
      <c r="T70" s="4"/>
      <c r="U70" s="4"/>
      <c r="V70" s="4"/>
      <c r="W70" s="4"/>
      <c r="X70" s="4"/>
      <c r="Y70" s="4"/>
    </row>
    <row r="71" spans="1:25" ht="33.75" customHeight="1">
      <c r="A71" s="4"/>
      <c r="B71" s="5"/>
      <c r="C71" s="4"/>
      <c r="D71" s="4"/>
      <c r="E71" s="161"/>
      <c r="F71" s="4"/>
      <c r="G71" s="4"/>
      <c r="H71" s="4"/>
      <c r="I71" s="4"/>
      <c r="J71" s="4"/>
      <c r="K71" s="4"/>
      <c r="L71" s="4"/>
      <c r="M71" s="4"/>
      <c r="N71" s="4"/>
      <c r="O71" s="4"/>
      <c r="P71" s="4"/>
      <c r="Q71" s="4"/>
      <c r="R71" s="4"/>
      <c r="S71" s="4"/>
      <c r="T71" s="4"/>
      <c r="U71" s="4"/>
      <c r="V71" s="4"/>
      <c r="W71" s="4"/>
      <c r="X71" s="4"/>
      <c r="Y71" s="4"/>
    </row>
    <row r="72" spans="1:25" ht="33.75" customHeight="1">
      <c r="A72" s="4"/>
      <c r="B72" s="5"/>
      <c r="C72" s="4"/>
      <c r="D72" s="4"/>
      <c r="E72" s="161"/>
      <c r="F72" s="4"/>
      <c r="G72" s="4"/>
      <c r="H72" s="4"/>
      <c r="I72" s="4"/>
      <c r="J72" s="4"/>
      <c r="K72" s="4"/>
      <c r="L72" s="4"/>
      <c r="M72" s="4"/>
      <c r="N72" s="4"/>
      <c r="O72" s="4"/>
      <c r="P72" s="4"/>
      <c r="Q72" s="4"/>
      <c r="R72" s="4"/>
      <c r="S72" s="4"/>
      <c r="T72" s="4"/>
      <c r="U72" s="4"/>
      <c r="V72" s="4"/>
      <c r="W72" s="4"/>
      <c r="X72" s="4"/>
      <c r="Y72" s="4"/>
    </row>
    <row r="73" spans="1:25" ht="33.75" customHeight="1">
      <c r="A73" s="4"/>
      <c r="B73" s="5"/>
      <c r="C73" s="4"/>
      <c r="D73" s="4"/>
      <c r="E73" s="161"/>
      <c r="F73" s="4"/>
      <c r="G73" s="4"/>
      <c r="H73" s="4"/>
      <c r="I73" s="4"/>
      <c r="J73" s="4"/>
      <c r="K73" s="4"/>
      <c r="L73" s="4"/>
      <c r="M73" s="4"/>
      <c r="N73" s="4"/>
      <c r="O73" s="4"/>
      <c r="P73" s="4"/>
      <c r="Q73" s="4"/>
      <c r="R73" s="4"/>
      <c r="S73" s="4"/>
      <c r="T73" s="4"/>
      <c r="U73" s="4"/>
      <c r="V73" s="4"/>
      <c r="W73" s="4"/>
      <c r="X73" s="4"/>
      <c r="Y73" s="4"/>
    </row>
    <row r="74" spans="1:25" ht="33.75" customHeight="1">
      <c r="A74" s="4"/>
      <c r="B74" s="5"/>
      <c r="C74" s="4"/>
      <c r="D74" s="4"/>
      <c r="E74" s="161"/>
      <c r="F74" s="4"/>
      <c r="G74" s="4"/>
      <c r="H74" s="4"/>
      <c r="I74" s="4"/>
      <c r="J74" s="4"/>
      <c r="K74" s="4"/>
      <c r="L74" s="4"/>
      <c r="M74" s="4"/>
      <c r="N74" s="4"/>
      <c r="O74" s="4"/>
      <c r="P74" s="4"/>
      <c r="Q74" s="4"/>
      <c r="R74" s="4"/>
      <c r="S74" s="4"/>
      <c r="T74" s="4"/>
      <c r="U74" s="4"/>
      <c r="V74" s="4"/>
      <c r="W74" s="4"/>
      <c r="X74" s="4"/>
      <c r="Y74" s="4"/>
    </row>
    <row r="75" spans="1:25" ht="33.75" customHeight="1">
      <c r="A75" s="4"/>
      <c r="B75" s="5"/>
      <c r="C75" s="4"/>
      <c r="D75" s="4"/>
      <c r="E75" s="161"/>
      <c r="F75" s="4"/>
      <c r="G75" s="4"/>
      <c r="H75" s="4"/>
      <c r="I75" s="4"/>
      <c r="J75" s="4"/>
      <c r="K75" s="4"/>
      <c r="L75" s="4"/>
      <c r="M75" s="4"/>
      <c r="N75" s="4"/>
      <c r="O75" s="4"/>
      <c r="P75" s="4"/>
      <c r="Q75" s="4"/>
      <c r="R75" s="4"/>
      <c r="S75" s="4"/>
      <c r="T75" s="4"/>
      <c r="U75" s="4"/>
      <c r="V75" s="4"/>
      <c r="W75" s="4"/>
      <c r="X75" s="4"/>
      <c r="Y75" s="4"/>
    </row>
    <row r="76" spans="1:25" ht="33.75" customHeight="1">
      <c r="A76" s="4"/>
      <c r="B76" s="5"/>
      <c r="C76" s="4"/>
      <c r="D76" s="4"/>
      <c r="E76" s="161"/>
      <c r="F76" s="4"/>
      <c r="G76" s="4"/>
      <c r="H76" s="4"/>
      <c r="I76" s="4"/>
      <c r="J76" s="4"/>
      <c r="K76" s="4"/>
      <c r="L76" s="4"/>
      <c r="M76" s="4"/>
      <c r="N76" s="4"/>
      <c r="O76" s="4"/>
      <c r="P76" s="4"/>
      <c r="Q76" s="4"/>
      <c r="R76" s="4"/>
      <c r="S76" s="4"/>
      <c r="T76" s="4"/>
      <c r="U76" s="4"/>
      <c r="V76" s="4"/>
      <c r="W76" s="4"/>
      <c r="X76" s="4"/>
      <c r="Y76" s="4"/>
    </row>
    <row r="77" spans="1:25" ht="33.75" customHeight="1">
      <c r="A77" s="4"/>
      <c r="B77" s="5"/>
      <c r="C77" s="4"/>
      <c r="D77" s="4"/>
      <c r="E77" s="161"/>
      <c r="F77" s="4"/>
      <c r="G77" s="4"/>
      <c r="H77" s="4"/>
      <c r="I77" s="4"/>
      <c r="J77" s="4"/>
      <c r="K77" s="4"/>
      <c r="L77" s="4"/>
      <c r="M77" s="4"/>
      <c r="N77" s="4"/>
      <c r="O77" s="4"/>
      <c r="P77" s="4"/>
      <c r="Q77" s="4"/>
      <c r="R77" s="4"/>
      <c r="S77" s="4"/>
      <c r="T77" s="4"/>
      <c r="U77" s="4"/>
      <c r="V77" s="4"/>
      <c r="W77" s="4"/>
      <c r="X77" s="4"/>
      <c r="Y77" s="4"/>
    </row>
    <row r="78" spans="1:25" ht="33.75" customHeight="1">
      <c r="A78" s="4"/>
      <c r="B78" s="5"/>
      <c r="C78" s="4"/>
      <c r="D78" s="4"/>
      <c r="E78" s="161"/>
      <c r="F78" s="4"/>
      <c r="G78" s="4"/>
      <c r="H78" s="4"/>
      <c r="I78" s="4"/>
      <c r="J78" s="4"/>
      <c r="K78" s="4"/>
      <c r="L78" s="4"/>
      <c r="M78" s="4"/>
      <c r="N78" s="4"/>
      <c r="O78" s="4"/>
      <c r="P78" s="4"/>
      <c r="Q78" s="4"/>
      <c r="R78" s="4"/>
      <c r="S78" s="4"/>
      <c r="T78" s="4"/>
      <c r="U78" s="4"/>
      <c r="V78" s="4"/>
      <c r="W78" s="4"/>
      <c r="X78" s="4"/>
      <c r="Y78" s="4"/>
    </row>
    <row r="79" spans="1:25" ht="33.75" customHeight="1">
      <c r="A79" s="4"/>
      <c r="B79" s="5"/>
      <c r="C79" s="4"/>
      <c r="D79" s="4"/>
      <c r="E79" s="161"/>
      <c r="F79" s="4"/>
      <c r="G79" s="4"/>
      <c r="H79" s="4"/>
      <c r="I79" s="4"/>
      <c r="J79" s="4"/>
      <c r="K79" s="4"/>
      <c r="L79" s="4"/>
      <c r="M79" s="4"/>
      <c r="N79" s="4"/>
      <c r="O79" s="4"/>
      <c r="P79" s="4"/>
      <c r="Q79" s="4"/>
      <c r="R79" s="4"/>
      <c r="S79" s="4"/>
      <c r="T79" s="4"/>
      <c r="U79" s="4"/>
      <c r="V79" s="4"/>
      <c r="W79" s="4"/>
      <c r="X79" s="4"/>
      <c r="Y79" s="4"/>
    </row>
    <row r="80" spans="1:25" ht="33.75" customHeight="1">
      <c r="A80" s="4"/>
      <c r="B80" s="5"/>
      <c r="C80" s="4"/>
      <c r="D80" s="4"/>
      <c r="E80" s="161"/>
      <c r="F80" s="4"/>
      <c r="G80" s="4"/>
      <c r="H80" s="4"/>
      <c r="I80" s="4"/>
      <c r="J80" s="4"/>
      <c r="K80" s="4"/>
      <c r="L80" s="4"/>
      <c r="M80" s="4"/>
      <c r="N80" s="4"/>
      <c r="O80" s="4"/>
      <c r="P80" s="4"/>
      <c r="Q80" s="4"/>
      <c r="R80" s="4"/>
      <c r="S80" s="4"/>
      <c r="T80" s="4"/>
      <c r="U80" s="4"/>
      <c r="V80" s="4"/>
      <c r="W80" s="4"/>
      <c r="X80" s="4"/>
      <c r="Y80" s="4"/>
    </row>
    <row r="81" spans="1:25" ht="33.75" customHeight="1">
      <c r="A81" s="4"/>
      <c r="B81" s="5"/>
      <c r="C81" s="4"/>
      <c r="D81" s="4"/>
      <c r="E81" s="161"/>
      <c r="F81" s="4"/>
      <c r="G81" s="4"/>
      <c r="H81" s="4"/>
      <c r="I81" s="4"/>
      <c r="J81" s="4"/>
      <c r="K81" s="4"/>
      <c r="L81" s="4"/>
      <c r="M81" s="4"/>
      <c r="N81" s="4"/>
      <c r="O81" s="4"/>
      <c r="P81" s="4"/>
      <c r="Q81" s="4"/>
      <c r="R81" s="4"/>
      <c r="S81" s="4"/>
      <c r="T81" s="4"/>
      <c r="U81" s="4"/>
      <c r="V81" s="4"/>
      <c r="W81" s="4"/>
      <c r="X81" s="4"/>
      <c r="Y81" s="4"/>
    </row>
    <row r="82" spans="1:25" ht="33.75" customHeight="1">
      <c r="A82" s="4"/>
      <c r="B82" s="5"/>
      <c r="C82" s="4"/>
      <c r="D82" s="4"/>
      <c r="E82" s="161"/>
      <c r="F82" s="4"/>
      <c r="G82" s="4"/>
      <c r="H82" s="4"/>
      <c r="I82" s="4"/>
      <c r="J82" s="4"/>
      <c r="K82" s="4"/>
      <c r="L82" s="4"/>
      <c r="M82" s="4"/>
      <c r="N82" s="4"/>
      <c r="O82" s="4"/>
      <c r="P82" s="4"/>
      <c r="Q82" s="4"/>
      <c r="R82" s="4"/>
      <c r="S82" s="4"/>
      <c r="T82" s="4"/>
      <c r="U82" s="4"/>
      <c r="V82" s="4"/>
      <c r="W82" s="4"/>
      <c r="X82" s="4"/>
      <c r="Y82" s="4"/>
    </row>
    <row r="83" spans="1:25" ht="33.75" customHeight="1">
      <c r="A83" s="4"/>
      <c r="B83" s="5"/>
      <c r="C83" s="4"/>
      <c r="D83" s="4"/>
      <c r="E83" s="161"/>
      <c r="F83" s="4"/>
      <c r="G83" s="4"/>
      <c r="H83" s="4"/>
      <c r="I83" s="4"/>
      <c r="J83" s="4"/>
      <c r="K83" s="4"/>
      <c r="L83" s="4"/>
      <c r="M83" s="4"/>
      <c r="N83" s="4"/>
      <c r="O83" s="4"/>
      <c r="P83" s="4"/>
      <c r="Q83" s="4"/>
      <c r="R83" s="4"/>
      <c r="S83" s="4"/>
      <c r="T83" s="4"/>
      <c r="U83" s="4"/>
      <c r="V83" s="4"/>
      <c r="W83" s="4"/>
      <c r="X83" s="4"/>
      <c r="Y83" s="4"/>
    </row>
    <row r="84" spans="1:25" ht="33.75" customHeight="1">
      <c r="A84" s="4"/>
      <c r="B84" s="5"/>
      <c r="C84" s="4"/>
      <c r="D84" s="4"/>
      <c r="E84" s="161"/>
      <c r="F84" s="4"/>
      <c r="G84" s="4"/>
      <c r="H84" s="4"/>
      <c r="I84" s="4"/>
      <c r="J84" s="4"/>
      <c r="K84" s="4"/>
      <c r="L84" s="4"/>
      <c r="M84" s="4"/>
      <c r="N84" s="4"/>
      <c r="O84" s="4"/>
      <c r="P84" s="4"/>
      <c r="Q84" s="4"/>
      <c r="R84" s="4"/>
      <c r="S84" s="4"/>
      <c r="T84" s="4"/>
      <c r="U84" s="4"/>
      <c r="V84" s="4"/>
      <c r="W84" s="4"/>
      <c r="X84" s="4"/>
      <c r="Y84" s="4"/>
    </row>
    <row r="85" spans="1:25" ht="33.75" customHeight="1">
      <c r="A85" s="4"/>
      <c r="B85" s="5"/>
      <c r="C85" s="4"/>
      <c r="D85" s="4"/>
      <c r="E85" s="161"/>
      <c r="F85" s="4"/>
      <c r="G85" s="4"/>
      <c r="H85" s="4"/>
      <c r="I85" s="4"/>
      <c r="J85" s="4"/>
      <c r="K85" s="4"/>
      <c r="L85" s="4"/>
      <c r="M85" s="4"/>
      <c r="N85" s="4"/>
      <c r="O85" s="4"/>
      <c r="P85" s="4"/>
      <c r="Q85" s="4"/>
      <c r="R85" s="4"/>
      <c r="S85" s="4"/>
      <c r="T85" s="4"/>
      <c r="U85" s="4"/>
      <c r="V85" s="4"/>
      <c r="W85" s="4"/>
      <c r="X85" s="4"/>
      <c r="Y85" s="4"/>
    </row>
    <row r="86" spans="1:25" ht="33.75" customHeight="1">
      <c r="A86" s="4"/>
      <c r="B86" s="5"/>
      <c r="C86" s="4"/>
      <c r="D86" s="4"/>
      <c r="E86" s="161"/>
      <c r="F86" s="4"/>
      <c r="G86" s="4"/>
      <c r="H86" s="4"/>
      <c r="I86" s="4"/>
      <c r="J86" s="4"/>
      <c r="K86" s="4"/>
      <c r="L86" s="4"/>
      <c r="M86" s="4"/>
      <c r="N86" s="4"/>
      <c r="O86" s="4"/>
      <c r="P86" s="4"/>
      <c r="Q86" s="4"/>
      <c r="R86" s="4"/>
      <c r="S86" s="4"/>
      <c r="T86" s="4"/>
      <c r="U86" s="4"/>
      <c r="V86" s="4"/>
      <c r="W86" s="4"/>
      <c r="X86" s="4"/>
      <c r="Y86" s="4"/>
    </row>
    <row r="87" spans="1:25" ht="33.75" customHeight="1">
      <c r="A87" s="4"/>
      <c r="B87" s="5"/>
      <c r="C87" s="4"/>
      <c r="D87" s="4"/>
      <c r="E87" s="161"/>
      <c r="F87" s="4"/>
      <c r="G87" s="4"/>
      <c r="H87" s="4"/>
      <c r="I87" s="4"/>
      <c r="J87" s="4"/>
      <c r="K87" s="4"/>
      <c r="L87" s="4"/>
      <c r="M87" s="4"/>
      <c r="N87" s="4"/>
      <c r="O87" s="4"/>
      <c r="P87" s="4"/>
      <c r="Q87" s="4"/>
      <c r="R87" s="4"/>
      <c r="S87" s="4"/>
      <c r="T87" s="4"/>
      <c r="U87" s="4"/>
      <c r="V87" s="4"/>
      <c r="W87" s="4"/>
      <c r="X87" s="4"/>
      <c r="Y87" s="4"/>
    </row>
    <row r="88" spans="1:25" ht="33.75" customHeight="1">
      <c r="A88" s="4"/>
      <c r="B88" s="5"/>
      <c r="C88" s="4"/>
      <c r="D88" s="4"/>
      <c r="E88" s="161"/>
      <c r="F88" s="4"/>
      <c r="G88" s="4"/>
      <c r="H88" s="4"/>
      <c r="I88" s="4"/>
      <c r="J88" s="4"/>
      <c r="K88" s="4"/>
      <c r="L88" s="4"/>
      <c r="M88" s="4"/>
      <c r="N88" s="4"/>
      <c r="O88" s="4"/>
      <c r="P88" s="4"/>
      <c r="Q88" s="4"/>
      <c r="R88" s="4"/>
      <c r="S88" s="4"/>
      <c r="T88" s="4"/>
      <c r="U88" s="4"/>
      <c r="V88" s="4"/>
      <c r="W88" s="4"/>
      <c r="X88" s="4"/>
      <c r="Y88" s="4"/>
    </row>
    <row r="89" spans="1:25" ht="33.75" customHeight="1">
      <c r="A89" s="4"/>
      <c r="B89" s="5"/>
      <c r="C89" s="4"/>
      <c r="D89" s="4"/>
      <c r="E89" s="161"/>
      <c r="F89" s="4"/>
      <c r="G89" s="4"/>
      <c r="H89" s="4"/>
      <c r="I89" s="4"/>
      <c r="J89" s="4"/>
      <c r="K89" s="4"/>
      <c r="L89" s="4"/>
      <c r="M89" s="4"/>
      <c r="N89" s="4"/>
      <c r="O89" s="4"/>
      <c r="P89" s="4"/>
      <c r="Q89" s="4"/>
      <c r="R89" s="4"/>
      <c r="S89" s="4"/>
      <c r="T89" s="4"/>
      <c r="U89" s="4"/>
      <c r="V89" s="4"/>
      <c r="W89" s="4"/>
      <c r="X89" s="4"/>
      <c r="Y89" s="4"/>
    </row>
    <row r="90" spans="1:25" ht="33.75" customHeight="1">
      <c r="A90" s="4"/>
      <c r="B90" s="5"/>
      <c r="C90" s="4"/>
      <c r="D90" s="4"/>
      <c r="E90" s="161"/>
      <c r="F90" s="4"/>
      <c r="G90" s="4"/>
      <c r="H90" s="4"/>
      <c r="I90" s="4"/>
      <c r="J90" s="4"/>
      <c r="K90" s="4"/>
      <c r="L90" s="4"/>
      <c r="M90" s="4"/>
      <c r="N90" s="4"/>
      <c r="O90" s="4"/>
      <c r="P90" s="4"/>
      <c r="Q90" s="4"/>
      <c r="R90" s="4"/>
      <c r="S90" s="4"/>
      <c r="T90" s="4"/>
      <c r="U90" s="4"/>
      <c r="V90" s="4"/>
      <c r="W90" s="4"/>
      <c r="X90" s="4"/>
      <c r="Y90" s="4"/>
    </row>
    <row r="91" spans="1:25" ht="33.75" customHeight="1">
      <c r="A91" s="4"/>
      <c r="B91" s="5"/>
      <c r="C91" s="4"/>
      <c r="D91" s="4"/>
      <c r="E91" s="161"/>
      <c r="F91" s="4"/>
      <c r="G91" s="4"/>
      <c r="H91" s="4"/>
      <c r="I91" s="4"/>
      <c r="J91" s="4"/>
      <c r="K91" s="4"/>
      <c r="L91" s="4"/>
      <c r="M91" s="4"/>
      <c r="N91" s="4"/>
      <c r="O91" s="4"/>
      <c r="P91" s="4"/>
      <c r="Q91" s="4"/>
      <c r="R91" s="4"/>
      <c r="S91" s="4"/>
      <c r="T91" s="4"/>
      <c r="U91" s="4"/>
      <c r="V91" s="4"/>
      <c r="W91" s="4"/>
      <c r="X91" s="4"/>
      <c r="Y91" s="4"/>
    </row>
    <row r="92" spans="1:25" ht="33.75" customHeight="1">
      <c r="A92" s="4"/>
      <c r="B92" s="5"/>
      <c r="C92" s="4"/>
      <c r="D92" s="4"/>
      <c r="E92" s="161"/>
      <c r="F92" s="4"/>
      <c r="G92" s="4"/>
      <c r="H92" s="4"/>
      <c r="I92" s="4"/>
      <c r="J92" s="4"/>
      <c r="K92" s="4"/>
      <c r="L92" s="4"/>
      <c r="M92" s="4"/>
      <c r="N92" s="4"/>
      <c r="O92" s="4"/>
      <c r="P92" s="4"/>
      <c r="Q92" s="4"/>
      <c r="R92" s="4"/>
      <c r="S92" s="4"/>
      <c r="T92" s="4"/>
      <c r="U92" s="4"/>
      <c r="V92" s="4"/>
      <c r="W92" s="4"/>
      <c r="X92" s="4"/>
      <c r="Y92" s="4"/>
    </row>
    <row r="93" spans="1:25" ht="33.75" customHeight="1">
      <c r="A93" s="4"/>
      <c r="B93" s="5"/>
      <c r="C93" s="4"/>
      <c r="D93" s="4"/>
      <c r="E93" s="161"/>
      <c r="F93" s="4"/>
      <c r="G93" s="4"/>
      <c r="H93" s="4"/>
      <c r="I93" s="4"/>
      <c r="J93" s="4"/>
      <c r="K93" s="4"/>
      <c r="L93" s="4"/>
      <c r="M93" s="4"/>
      <c r="N93" s="4"/>
      <c r="O93" s="4"/>
      <c r="P93" s="4"/>
      <c r="Q93" s="4"/>
      <c r="R93" s="4"/>
      <c r="S93" s="4"/>
      <c r="T93" s="4"/>
      <c r="U93" s="4"/>
      <c r="V93" s="4"/>
      <c r="W93" s="4"/>
      <c r="X93" s="4"/>
      <c r="Y93" s="4"/>
    </row>
    <row r="94" spans="1:25" ht="33.75" customHeight="1">
      <c r="A94" s="4"/>
      <c r="B94" s="5"/>
      <c r="C94" s="4"/>
      <c r="D94" s="4"/>
      <c r="E94" s="161"/>
      <c r="F94" s="4"/>
      <c r="G94" s="4"/>
      <c r="H94" s="4"/>
      <c r="I94" s="4"/>
      <c r="J94" s="4"/>
      <c r="K94" s="4"/>
      <c r="L94" s="4"/>
      <c r="M94" s="4"/>
      <c r="N94" s="4"/>
      <c r="O94" s="4"/>
      <c r="P94" s="4"/>
      <c r="Q94" s="4"/>
      <c r="R94" s="4"/>
      <c r="S94" s="4"/>
      <c r="T94" s="4"/>
      <c r="U94" s="4"/>
      <c r="V94" s="4"/>
      <c r="W94" s="4"/>
      <c r="X94" s="4"/>
      <c r="Y94" s="4"/>
    </row>
    <row r="95" spans="1:25" ht="33.75" customHeight="1">
      <c r="A95" s="4"/>
      <c r="B95" s="5"/>
      <c r="C95" s="4"/>
      <c r="D95" s="4"/>
      <c r="E95" s="161"/>
      <c r="F95" s="4"/>
      <c r="G95" s="4"/>
      <c r="H95" s="4"/>
      <c r="I95" s="4"/>
      <c r="J95" s="4"/>
      <c r="K95" s="4"/>
      <c r="L95" s="4"/>
      <c r="M95" s="4"/>
      <c r="N95" s="4"/>
      <c r="O95" s="4"/>
      <c r="P95" s="4"/>
      <c r="Q95" s="4"/>
      <c r="R95" s="4"/>
      <c r="S95" s="4"/>
      <c r="T95" s="4"/>
      <c r="U95" s="4"/>
      <c r="V95" s="4"/>
      <c r="W95" s="4"/>
      <c r="X95" s="4"/>
      <c r="Y95" s="4"/>
    </row>
    <row r="96" spans="1:25" ht="33.75" customHeight="1">
      <c r="A96" s="4"/>
      <c r="B96" s="5"/>
      <c r="C96" s="4"/>
      <c r="D96" s="4"/>
      <c r="E96" s="161"/>
      <c r="F96" s="4"/>
      <c r="G96" s="4"/>
      <c r="H96" s="4"/>
      <c r="I96" s="4"/>
      <c r="J96" s="4"/>
      <c r="K96" s="4"/>
      <c r="L96" s="4"/>
      <c r="M96" s="4"/>
      <c r="N96" s="4"/>
      <c r="O96" s="4"/>
      <c r="P96" s="4"/>
      <c r="Q96" s="4"/>
      <c r="R96" s="4"/>
      <c r="S96" s="4"/>
      <c r="T96" s="4"/>
      <c r="U96" s="4"/>
      <c r="V96" s="4"/>
      <c r="W96" s="4"/>
      <c r="X96" s="4"/>
      <c r="Y96" s="4"/>
    </row>
    <row r="97" spans="1:25" ht="33.75" customHeight="1">
      <c r="A97" s="4"/>
      <c r="B97" s="5"/>
      <c r="C97" s="4"/>
      <c r="D97" s="4"/>
      <c r="E97" s="161"/>
      <c r="F97" s="4"/>
      <c r="G97" s="4"/>
      <c r="H97" s="4"/>
      <c r="I97" s="4"/>
      <c r="J97" s="4"/>
      <c r="K97" s="4"/>
      <c r="L97" s="4"/>
      <c r="M97" s="4"/>
      <c r="N97" s="4"/>
      <c r="O97" s="4"/>
      <c r="P97" s="4"/>
      <c r="Q97" s="4"/>
      <c r="R97" s="4"/>
      <c r="S97" s="4"/>
      <c r="T97" s="4"/>
      <c r="U97" s="4"/>
      <c r="V97" s="4"/>
      <c r="W97" s="4"/>
      <c r="X97" s="4"/>
      <c r="Y97" s="4"/>
    </row>
    <row r="98" spans="1:25" ht="33.75" customHeight="1">
      <c r="A98" s="4"/>
      <c r="B98" s="5"/>
      <c r="C98" s="4"/>
      <c r="D98" s="4"/>
      <c r="E98" s="161"/>
      <c r="F98" s="4"/>
      <c r="G98" s="4"/>
      <c r="H98" s="4"/>
      <c r="I98" s="4"/>
      <c r="J98" s="4"/>
      <c r="K98" s="4"/>
      <c r="L98" s="4"/>
      <c r="M98" s="4"/>
      <c r="N98" s="4"/>
      <c r="O98" s="4"/>
      <c r="P98" s="4"/>
      <c r="Q98" s="4"/>
      <c r="R98" s="4"/>
      <c r="S98" s="4"/>
      <c r="T98" s="4"/>
      <c r="U98" s="4"/>
      <c r="V98" s="4"/>
      <c r="W98" s="4"/>
      <c r="X98" s="4"/>
      <c r="Y98" s="4"/>
    </row>
    <row r="99" spans="1:25" ht="33.75" customHeight="1">
      <c r="A99" s="4"/>
      <c r="B99" s="5"/>
      <c r="C99" s="4"/>
      <c r="D99" s="4"/>
      <c r="E99" s="161"/>
      <c r="F99" s="4"/>
      <c r="G99" s="4"/>
      <c r="H99" s="4"/>
      <c r="I99" s="4"/>
      <c r="J99" s="4"/>
      <c r="K99" s="4"/>
      <c r="L99" s="4"/>
      <c r="M99" s="4"/>
      <c r="N99" s="4"/>
      <c r="O99" s="4"/>
      <c r="P99" s="4"/>
      <c r="Q99" s="4"/>
      <c r="R99" s="4"/>
      <c r="S99" s="4"/>
      <c r="T99" s="4"/>
      <c r="U99" s="4"/>
      <c r="V99" s="4"/>
      <c r="W99" s="4"/>
      <c r="X99" s="4"/>
      <c r="Y99" s="4"/>
    </row>
    <row r="100" spans="1:25" ht="33.75" customHeight="1">
      <c r="A100" s="4"/>
      <c r="B100" s="5"/>
      <c r="C100" s="4"/>
      <c r="D100" s="4"/>
      <c r="E100" s="161"/>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4"/>
      <c r="D101" s="4"/>
      <c r="E101" s="161"/>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4"/>
      <c r="D102" s="4"/>
      <c r="E102" s="161"/>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4"/>
      <c r="D103" s="4"/>
      <c r="E103" s="161"/>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4"/>
      <c r="D104" s="4"/>
      <c r="E104" s="161"/>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4"/>
      <c r="D105" s="4"/>
      <c r="E105" s="161"/>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4"/>
      <c r="D106" s="4"/>
      <c r="E106" s="161"/>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4"/>
      <c r="D107" s="4"/>
      <c r="E107" s="161"/>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4"/>
      <c r="D108" s="4"/>
      <c r="E108" s="161"/>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4"/>
      <c r="D109" s="4"/>
      <c r="E109" s="161"/>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4"/>
      <c r="D110" s="4"/>
      <c r="E110" s="161"/>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4"/>
      <c r="D111" s="4"/>
      <c r="E111" s="161"/>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4"/>
      <c r="D112" s="4"/>
      <c r="E112" s="161"/>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4"/>
      <c r="D113" s="4"/>
      <c r="E113" s="161"/>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4"/>
      <c r="D114" s="4"/>
      <c r="E114" s="161"/>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4"/>
      <c r="D115" s="4"/>
      <c r="E115" s="161"/>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4"/>
      <c r="D116" s="4"/>
      <c r="E116" s="161"/>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4"/>
      <c r="D117" s="4"/>
      <c r="E117" s="161"/>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4"/>
      <c r="D118" s="4"/>
      <c r="E118" s="161"/>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4"/>
      <c r="D119" s="4"/>
      <c r="E119" s="161"/>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4"/>
      <c r="D120" s="4"/>
      <c r="E120" s="161"/>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4"/>
      <c r="D121" s="4"/>
      <c r="E121" s="161"/>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4"/>
      <c r="D122" s="4"/>
      <c r="E122" s="161"/>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4"/>
      <c r="D123" s="4"/>
      <c r="E123" s="161"/>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4"/>
      <c r="D124" s="4"/>
      <c r="E124" s="161"/>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4"/>
      <c r="D125" s="4"/>
      <c r="E125" s="161"/>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4"/>
      <c r="D126" s="4"/>
      <c r="E126" s="161"/>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4"/>
      <c r="D127" s="4"/>
      <c r="E127" s="161"/>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4"/>
      <c r="D128" s="4"/>
      <c r="E128" s="161"/>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4"/>
      <c r="D129" s="4"/>
      <c r="E129" s="161"/>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4"/>
      <c r="D130" s="4"/>
      <c r="E130" s="161"/>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4"/>
      <c r="D131" s="4"/>
      <c r="E131" s="161"/>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4"/>
      <c r="D132" s="4"/>
      <c r="E132" s="161"/>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4"/>
      <c r="D133" s="4"/>
      <c r="E133" s="161"/>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4"/>
      <c r="D134" s="4"/>
      <c r="E134" s="161"/>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4"/>
      <c r="D135" s="4"/>
      <c r="E135" s="161"/>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4"/>
      <c r="D136" s="4"/>
      <c r="E136" s="161"/>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4"/>
      <c r="D137" s="4"/>
      <c r="E137" s="161"/>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4"/>
      <c r="D138" s="4"/>
      <c r="E138" s="161"/>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4"/>
      <c r="D139" s="4"/>
      <c r="E139" s="161"/>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4"/>
      <c r="D140" s="4"/>
      <c r="E140" s="161"/>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4"/>
      <c r="D141" s="4"/>
      <c r="E141" s="161"/>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4"/>
      <c r="D142" s="4"/>
      <c r="E142" s="161"/>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4"/>
      <c r="D143" s="4"/>
      <c r="E143" s="161"/>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4"/>
      <c r="D144" s="4"/>
      <c r="E144" s="161"/>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4"/>
      <c r="D145" s="4"/>
      <c r="E145" s="161"/>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4"/>
      <c r="D146" s="4"/>
      <c r="E146" s="161"/>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4"/>
      <c r="D147" s="4"/>
      <c r="E147" s="161"/>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4"/>
      <c r="D148" s="4"/>
      <c r="E148" s="161"/>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4"/>
      <c r="D149" s="4"/>
      <c r="E149" s="161"/>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4"/>
      <c r="D150" s="4"/>
      <c r="E150" s="161"/>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4"/>
      <c r="D151" s="4"/>
      <c r="E151" s="161"/>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4"/>
      <c r="D152" s="4"/>
      <c r="E152" s="161"/>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4"/>
      <c r="D153" s="4"/>
      <c r="E153" s="161"/>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4"/>
      <c r="D154" s="4"/>
      <c r="E154" s="161"/>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4"/>
      <c r="D155" s="4"/>
      <c r="E155" s="161"/>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4"/>
      <c r="D156" s="4"/>
      <c r="E156" s="161"/>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4"/>
      <c r="D157" s="4"/>
      <c r="E157" s="161"/>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4"/>
      <c r="D158" s="4"/>
      <c r="E158" s="161"/>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4"/>
      <c r="D159" s="4"/>
      <c r="E159" s="161"/>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4"/>
      <c r="D160" s="4"/>
      <c r="E160" s="161"/>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4"/>
      <c r="D161" s="4"/>
      <c r="E161" s="161"/>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4"/>
      <c r="D162" s="4"/>
      <c r="E162" s="161"/>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4"/>
      <c r="D163" s="4"/>
      <c r="E163" s="161"/>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4"/>
      <c r="D164" s="4"/>
      <c r="E164" s="161"/>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4"/>
      <c r="D165" s="4"/>
      <c r="E165" s="161"/>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4"/>
      <c r="D166" s="4"/>
      <c r="E166" s="161"/>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4"/>
      <c r="D167" s="4"/>
      <c r="E167" s="161"/>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4"/>
      <c r="D168" s="4"/>
      <c r="E168" s="161"/>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4"/>
      <c r="D169" s="4"/>
      <c r="E169" s="161"/>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4"/>
      <c r="D170" s="4"/>
      <c r="E170" s="161"/>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4"/>
      <c r="D171" s="4"/>
      <c r="E171" s="161"/>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4"/>
      <c r="D172" s="4"/>
      <c r="E172" s="161"/>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4"/>
      <c r="D173" s="4"/>
      <c r="E173" s="161"/>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4"/>
      <c r="D174" s="4"/>
      <c r="E174" s="161"/>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4"/>
      <c r="D175" s="4"/>
      <c r="E175" s="161"/>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4"/>
      <c r="D176" s="4"/>
      <c r="E176" s="161"/>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4"/>
      <c r="D177" s="4"/>
      <c r="E177" s="161"/>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4"/>
      <c r="D178" s="4"/>
      <c r="E178" s="161"/>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4"/>
      <c r="D179" s="4"/>
      <c r="E179" s="161"/>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4"/>
      <c r="D180" s="4"/>
      <c r="E180" s="161"/>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4"/>
      <c r="D181" s="4"/>
      <c r="E181" s="161"/>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4"/>
      <c r="D182" s="4"/>
      <c r="E182" s="161"/>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4"/>
      <c r="D183" s="4"/>
      <c r="E183" s="161"/>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4"/>
      <c r="D184" s="4"/>
      <c r="E184" s="161"/>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4"/>
      <c r="D185" s="4"/>
      <c r="E185" s="161"/>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4"/>
      <c r="D186" s="4"/>
      <c r="E186" s="161"/>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4"/>
      <c r="D187" s="4"/>
      <c r="E187" s="161"/>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4"/>
      <c r="D188" s="4"/>
      <c r="E188" s="161"/>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4"/>
      <c r="D189" s="4"/>
      <c r="E189" s="161"/>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4"/>
      <c r="D190" s="4"/>
      <c r="E190" s="161"/>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4"/>
      <c r="D191" s="4"/>
      <c r="E191" s="161"/>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4"/>
      <c r="D192" s="4"/>
      <c r="E192" s="161"/>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4"/>
      <c r="D193" s="4"/>
      <c r="E193" s="161"/>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4"/>
      <c r="D194" s="4"/>
      <c r="E194" s="161"/>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4"/>
      <c r="D195" s="4"/>
      <c r="E195" s="161"/>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4"/>
      <c r="D196" s="4"/>
      <c r="E196" s="161"/>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4"/>
      <c r="D197" s="4"/>
      <c r="E197" s="161"/>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4"/>
      <c r="D198" s="4"/>
      <c r="E198" s="161"/>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4"/>
      <c r="D199" s="4"/>
      <c r="E199" s="161"/>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4"/>
      <c r="D200" s="4"/>
      <c r="E200" s="161"/>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4"/>
      <c r="D201" s="4"/>
      <c r="E201" s="161"/>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4"/>
      <c r="D202" s="4"/>
      <c r="E202" s="161"/>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4"/>
      <c r="D203" s="4"/>
      <c r="E203" s="161"/>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4"/>
      <c r="D204" s="4"/>
      <c r="E204" s="161"/>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4"/>
      <c r="D205" s="4"/>
      <c r="E205" s="161"/>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4"/>
      <c r="D206" s="4"/>
      <c r="E206" s="161"/>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4"/>
      <c r="D207" s="4"/>
      <c r="E207" s="161"/>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4"/>
      <c r="D208" s="4"/>
      <c r="E208" s="161"/>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4"/>
      <c r="D209" s="4"/>
      <c r="E209" s="161"/>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4"/>
      <c r="D210" s="4"/>
      <c r="E210" s="161"/>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4"/>
      <c r="D211" s="4"/>
      <c r="E211" s="161"/>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4"/>
      <c r="D212" s="4"/>
      <c r="E212" s="161"/>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4"/>
      <c r="D213" s="4"/>
      <c r="E213" s="161"/>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4"/>
      <c r="D214" s="4"/>
      <c r="E214" s="161"/>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4"/>
      <c r="D215" s="4"/>
      <c r="E215" s="161"/>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4"/>
      <c r="D216" s="4"/>
      <c r="E216" s="161"/>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4"/>
      <c r="D217" s="4"/>
      <c r="E217" s="161"/>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4"/>
      <c r="D218" s="4"/>
      <c r="E218" s="161"/>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4"/>
      <c r="D219" s="4"/>
      <c r="E219" s="161"/>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4"/>
      <c r="D220" s="4"/>
      <c r="E220" s="161"/>
      <c r="F220" s="4"/>
      <c r="G220" s="4"/>
      <c r="H220" s="4"/>
      <c r="I220" s="4"/>
      <c r="J220" s="4"/>
      <c r="K220" s="4"/>
      <c r="L220" s="4"/>
      <c r="M220" s="4"/>
      <c r="N220" s="4"/>
      <c r="O220" s="4"/>
      <c r="P220" s="4"/>
      <c r="Q220" s="4"/>
      <c r="R220" s="4"/>
      <c r="S220" s="4"/>
      <c r="T220" s="4"/>
      <c r="U220" s="4"/>
      <c r="V220" s="4"/>
      <c r="W220" s="4"/>
      <c r="X220" s="4"/>
      <c r="Y220" s="4"/>
    </row>
    <row r="221" spans="1:25" ht="15.75" customHeight="1">
      <c r="B221" s="6"/>
    </row>
    <row r="222" spans="1:25" ht="15.75" customHeight="1">
      <c r="B222" s="6"/>
    </row>
    <row r="223" spans="1:25" ht="15.75" customHeight="1">
      <c r="B223" s="6"/>
    </row>
    <row r="224" spans="1:25"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autoFilter ref="A1:Z1" xr:uid="{00000000-0001-0000-0F00-000000000000}"/>
  <dataValidations count="5">
    <dataValidation type="list" allowBlank="1" showErrorMessage="1" sqref="M5 M2:N4 M6:N10" xr:uid="{00000000-0002-0000-0F00-000000000000}">
      <formula1>$J$1:$J$7</formula1>
    </dataValidation>
    <dataValidation type="list" allowBlank="1" showErrorMessage="1" sqref="N5 J7:L10 J2:K6" xr:uid="{00000000-0002-0000-0F00-000001000000}">
      <formula1>$H$1:$H$103</formula1>
    </dataValidation>
    <dataValidation type="list" allowBlank="1" showErrorMessage="1" sqref="F2:F10" xr:uid="{00000000-0002-0000-0F00-000002000000}">
      <formula1>$F$1:$F$16</formula1>
    </dataValidation>
    <dataValidation type="list" allowBlank="1" showErrorMessage="1" sqref="O2:O10" xr:uid="{00000000-0002-0000-0F00-000003000000}">
      <formula1>$I$1:$I$103</formula1>
    </dataValidation>
    <dataValidation type="list" allowBlank="1" showErrorMessage="1" sqref="G2:I10" xr:uid="{00000000-0002-0000-0F00-000004000000}">
      <formula1>$G$1:$G$103</formula1>
    </dataValidation>
  </dataValidations>
  <hyperlinks>
    <hyperlink ref="B2" r:id="rId1" xr:uid="{00000000-0004-0000-0F00-000000000000}"/>
    <hyperlink ref="B3" r:id="rId2" xr:uid="{00000000-0004-0000-0F00-000001000000}"/>
    <hyperlink ref="B4" r:id="rId3" xr:uid="{00000000-0004-0000-0F00-000002000000}"/>
    <hyperlink ref="B5" r:id="rId4" xr:uid="{00000000-0004-0000-0F00-000003000000}"/>
    <hyperlink ref="B6" r:id="rId5" xr:uid="{00000000-0004-0000-0F00-000004000000}"/>
    <hyperlink ref="B7" r:id="rId6" xr:uid="{00000000-0004-0000-0F00-000005000000}"/>
    <hyperlink ref="B8" r:id="rId7" xr:uid="{00000000-0004-0000-0F00-000006000000}"/>
    <hyperlink ref="B9" r:id="rId8" xr:uid="{00000000-0004-0000-0F00-000007000000}"/>
    <hyperlink ref="B10" r:id="rId9" xr:uid="{00000000-0004-0000-0F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6"/>
  <sheetViews>
    <sheetView topLeftCell="B1" workbookViewId="0">
      <selection activeCell="E2" sqref="E2"/>
    </sheetView>
  </sheetViews>
  <sheetFormatPr defaultRowHeight="18" customHeight="1"/>
  <cols>
    <col min="1" max="1" width="5.88671875" style="77" bestFit="1" customWidth="1"/>
    <col min="2" max="2" width="79.88671875" style="96" customWidth="1"/>
    <col min="3" max="3" width="21.88671875" style="78" customWidth="1"/>
    <col min="4" max="4" width="25.109375" style="77" bestFit="1" customWidth="1"/>
    <col min="5" max="5" width="43.77734375" style="10" bestFit="1" customWidth="1"/>
    <col min="6" max="6" width="82.33203125" customWidth="1"/>
  </cols>
  <sheetData>
    <row r="1" spans="1:7" s="479" customFormat="1" ht="25.5" customHeight="1">
      <c r="A1" s="476" t="s">
        <v>0</v>
      </c>
      <c r="B1" s="476" t="s">
        <v>1195</v>
      </c>
      <c r="C1" s="477" t="s">
        <v>1196</v>
      </c>
      <c r="D1" s="476" t="s">
        <v>1197</v>
      </c>
      <c r="E1" s="476" t="s">
        <v>1198</v>
      </c>
      <c r="F1" s="478" t="s">
        <v>1199</v>
      </c>
    </row>
    <row r="2" spans="1:7" s="552" customFormat="1" ht="25.5" customHeight="1">
      <c r="A2" s="553">
        <v>1</v>
      </c>
      <c r="B2" s="559" t="s">
        <v>4943</v>
      </c>
      <c r="C2" s="554">
        <f>DATE(2026,5,29)</f>
        <v>46171</v>
      </c>
      <c r="D2" s="554">
        <f>DATE(2026,5,29)</f>
        <v>46171</v>
      </c>
      <c r="E2" s="561" t="s">
        <v>1320</v>
      </c>
      <c r="F2" s="555" t="s">
        <v>1242</v>
      </c>
    </row>
    <row r="3" spans="1:7" s="556" customFormat="1" ht="25.5" customHeight="1">
      <c r="A3" s="553">
        <v>2</v>
      </c>
      <c r="B3" s="559" t="s">
        <v>4941</v>
      </c>
      <c r="C3" s="557">
        <f>DATE(2026,5,27)</f>
        <v>46169</v>
      </c>
      <c r="D3" s="557">
        <f>DATE(2026,5,27)</f>
        <v>46169</v>
      </c>
      <c r="E3" s="560" t="s">
        <v>1203</v>
      </c>
      <c r="F3" s="558" t="s">
        <v>4942</v>
      </c>
    </row>
    <row r="4" spans="1:7" s="521" customFormat="1" ht="28.8">
      <c r="A4" s="518">
        <v>3</v>
      </c>
      <c r="B4" s="525" t="s">
        <v>4917</v>
      </c>
      <c r="C4" s="519">
        <f>DATE(2026,4,10)</f>
        <v>46122</v>
      </c>
      <c r="D4" s="524">
        <f>DATE(2026,2,12)</f>
        <v>46065</v>
      </c>
      <c r="E4" s="389" t="s">
        <v>4919</v>
      </c>
      <c r="F4" s="526" t="s">
        <v>4920</v>
      </c>
    </row>
    <row r="5" spans="1:7" s="521" customFormat="1" ht="25.5" customHeight="1">
      <c r="A5" s="518">
        <v>4</v>
      </c>
      <c r="B5" s="525" t="s">
        <v>4916</v>
      </c>
      <c r="C5" s="519">
        <f>DATE(2026,4,8)</f>
        <v>46120</v>
      </c>
      <c r="D5" s="519">
        <f>DATE(2026,4,8)</f>
        <v>46120</v>
      </c>
      <c r="E5" s="527" t="s">
        <v>4918</v>
      </c>
      <c r="F5" s="526" t="s">
        <v>21</v>
      </c>
    </row>
    <row r="6" spans="1:7" s="521" customFormat="1" ht="25.5" customHeight="1">
      <c r="A6" s="518">
        <v>5</v>
      </c>
      <c r="B6" s="522" t="s">
        <v>4913</v>
      </c>
      <c r="C6" s="523">
        <f>DATE(2026,4,7)</f>
        <v>46119</v>
      </c>
      <c r="D6" s="524">
        <f>DATE(2026,4,6)</f>
        <v>46118</v>
      </c>
      <c r="E6" s="389" t="s">
        <v>4915</v>
      </c>
      <c r="F6" s="520" t="s">
        <v>4914</v>
      </c>
    </row>
    <row r="7" spans="1:7" s="104" customFormat="1" ht="28.8">
      <c r="A7" s="553">
        <v>6</v>
      </c>
      <c r="B7" s="147" t="s">
        <v>1200</v>
      </c>
      <c r="C7" s="315">
        <f>DATE(2026, 3, 17)</f>
        <v>46098</v>
      </c>
      <c r="D7" s="316">
        <f>DATE(2026,3,16)</f>
        <v>46097</v>
      </c>
      <c r="E7" s="317" t="s">
        <v>1201</v>
      </c>
      <c r="F7" s="314" t="s">
        <v>21</v>
      </c>
      <c r="G7" s="105"/>
    </row>
    <row r="8" spans="1:7" ht="16.8" customHeight="1">
      <c r="A8" s="553">
        <v>7</v>
      </c>
      <c r="B8" s="147" t="s">
        <v>1202</v>
      </c>
      <c r="C8" s="318">
        <f>DATE(2026,2,27)</f>
        <v>46080</v>
      </c>
      <c r="D8" s="316">
        <f>DATE(2026,2,26)</f>
        <v>46079</v>
      </c>
      <c r="E8" s="319" t="s">
        <v>1203</v>
      </c>
      <c r="F8" s="320" t="s">
        <v>4900</v>
      </c>
    </row>
    <row r="9" spans="1:7" ht="28.8">
      <c r="A9" s="518">
        <v>8</v>
      </c>
      <c r="B9" s="147" t="s">
        <v>1204</v>
      </c>
      <c r="C9" s="321">
        <f>DATE(2026,2,26)</f>
        <v>46079</v>
      </c>
      <c r="D9" s="316">
        <f>DATE(2026,2,24)</f>
        <v>46077</v>
      </c>
      <c r="E9" s="120" t="s">
        <v>1205</v>
      </c>
      <c r="F9" s="120" t="s">
        <v>1206</v>
      </c>
    </row>
    <row r="10" spans="1:7" ht="28.8">
      <c r="A10" s="518">
        <v>9</v>
      </c>
      <c r="B10" s="147" t="s">
        <v>1207</v>
      </c>
      <c r="C10" s="321">
        <f>DATE(2026,2,23)</f>
        <v>46076</v>
      </c>
      <c r="D10" s="316">
        <f>DATE(2026,2,2)</f>
        <v>46055</v>
      </c>
      <c r="E10" s="120" t="s">
        <v>1208</v>
      </c>
      <c r="F10" s="88" t="s">
        <v>1209</v>
      </c>
    </row>
    <row r="11" spans="1:7" ht="15">
      <c r="A11" s="518">
        <v>10</v>
      </c>
      <c r="B11" s="147" t="s">
        <v>1210</v>
      </c>
      <c r="C11" s="175">
        <f>DATE(2026,2,19)</f>
        <v>46072</v>
      </c>
      <c r="D11" s="316">
        <f>DATE(2026,1,25)</f>
        <v>46047</v>
      </c>
      <c r="E11" s="147" t="s">
        <v>1211</v>
      </c>
      <c r="F11" s="320" t="s">
        <v>1212</v>
      </c>
    </row>
    <row r="12" spans="1:7" ht="28.8">
      <c r="A12" s="553">
        <v>11</v>
      </c>
      <c r="B12" s="128" t="s">
        <v>1213</v>
      </c>
      <c r="C12" s="321">
        <f>DATE(2026,2,18)</f>
        <v>46071</v>
      </c>
      <c r="D12" s="316">
        <f>DATE(2026,2,17)</f>
        <v>46070</v>
      </c>
      <c r="E12" s="120" t="s">
        <v>1214</v>
      </c>
      <c r="F12" s="88" t="s">
        <v>1215</v>
      </c>
    </row>
    <row r="13" spans="1:7" ht="28.8">
      <c r="A13" s="553">
        <v>12</v>
      </c>
      <c r="B13" s="147" t="s">
        <v>1216</v>
      </c>
      <c r="C13" s="175">
        <f>DATE(2026,2,17)</f>
        <v>46070</v>
      </c>
      <c r="D13" s="316">
        <f t="shared" ref="D13" si="0">DATE(2026,2,17)</f>
        <v>46070</v>
      </c>
      <c r="E13" s="120" t="s">
        <v>1217</v>
      </c>
      <c r="F13" s="88" t="s">
        <v>21</v>
      </c>
    </row>
    <row r="14" spans="1:7" s="93" customFormat="1" ht="15" customHeight="1">
      <c r="A14" s="518">
        <v>13</v>
      </c>
      <c r="B14" s="147" t="s">
        <v>1218</v>
      </c>
      <c r="C14" s="315">
        <f>DATE(2026,2,4)</f>
        <v>46057</v>
      </c>
      <c r="D14" s="316">
        <f>DATE(2026,2,3)</f>
        <v>46056</v>
      </c>
      <c r="E14" s="322" t="s">
        <v>1219</v>
      </c>
      <c r="F14" s="314" t="s">
        <v>1220</v>
      </c>
    </row>
    <row r="15" spans="1:7" s="93" customFormat="1" ht="23.4" customHeight="1">
      <c r="A15" s="518">
        <v>14</v>
      </c>
      <c r="B15" s="147" t="s">
        <v>1221</v>
      </c>
      <c r="C15" s="315">
        <f>DATE(2026,2,2)</f>
        <v>46055</v>
      </c>
      <c r="D15" s="314"/>
      <c r="E15" s="314"/>
      <c r="F15" s="314" t="s">
        <v>21</v>
      </c>
    </row>
    <row r="16" spans="1:7" s="93" customFormat="1" ht="28.8">
      <c r="A16" s="518">
        <v>15</v>
      </c>
      <c r="B16" s="147" t="s">
        <v>1222</v>
      </c>
      <c r="C16" s="315">
        <f t="shared" ref="C16:C17" si="1">DATE(2026,2,2)</f>
        <v>46055</v>
      </c>
      <c r="D16" s="316">
        <f>DATE(2026,1,31)</f>
        <v>46053</v>
      </c>
      <c r="E16" s="323" t="s">
        <v>1223</v>
      </c>
      <c r="F16" s="314" t="s">
        <v>1224</v>
      </c>
    </row>
    <row r="17" spans="1:6" s="93" customFormat="1" ht="28.8">
      <c r="A17" s="553">
        <v>16</v>
      </c>
      <c r="B17" s="147" t="s">
        <v>1225</v>
      </c>
      <c r="C17" s="315">
        <f t="shared" si="1"/>
        <v>46055</v>
      </c>
      <c r="D17" s="316">
        <f>DATE(2026,1,30)</f>
        <v>46052</v>
      </c>
      <c r="E17" s="323" t="s">
        <v>1226</v>
      </c>
      <c r="F17" s="314" t="s">
        <v>1206</v>
      </c>
    </row>
    <row r="18" spans="1:6" s="93" customFormat="1" ht="28.8">
      <c r="A18" s="553">
        <v>17</v>
      </c>
      <c r="B18" s="147" t="s">
        <v>1227</v>
      </c>
      <c r="C18" s="315">
        <f>DATE(2026,1,28)</f>
        <v>46050</v>
      </c>
      <c r="D18" s="316">
        <f>DATE(2026,1,21)</f>
        <v>46043</v>
      </c>
      <c r="E18" s="323" t="s">
        <v>1228</v>
      </c>
      <c r="F18" s="314" t="s">
        <v>21</v>
      </c>
    </row>
    <row r="19" spans="1:6" s="93" customFormat="1" ht="15">
      <c r="A19" s="518">
        <v>18</v>
      </c>
      <c r="B19" s="147" t="s">
        <v>1229</v>
      </c>
      <c r="C19" s="315">
        <f>DATE(2026,1,20)</f>
        <v>46042</v>
      </c>
      <c r="D19" s="316">
        <f>DATE(2026,1,14)</f>
        <v>46036</v>
      </c>
      <c r="E19" s="322" t="s">
        <v>1230</v>
      </c>
      <c r="F19" s="314" t="s">
        <v>1231</v>
      </c>
    </row>
    <row r="20" spans="1:6" s="93" customFormat="1" ht="15">
      <c r="A20" s="518">
        <v>19</v>
      </c>
      <c r="B20" s="147" t="s">
        <v>1232</v>
      </c>
      <c r="C20" s="315">
        <f>DATE(2026,1,20)</f>
        <v>46042</v>
      </c>
      <c r="D20" s="316">
        <f>DATE(2026,1,20)</f>
        <v>46042</v>
      </c>
      <c r="E20" s="317" t="s">
        <v>1233</v>
      </c>
      <c r="F20" s="314" t="s">
        <v>1231</v>
      </c>
    </row>
    <row r="21" spans="1:6" s="94" customFormat="1" ht="15">
      <c r="A21" s="518">
        <v>20</v>
      </c>
      <c r="B21" s="324" t="s">
        <v>1234</v>
      </c>
      <c r="C21" s="175">
        <f>DATE(2026,1,16)</f>
        <v>46038</v>
      </c>
      <c r="D21" s="316">
        <f>DATE(2026,1,8)</f>
        <v>46030</v>
      </c>
      <c r="E21" s="147" t="s">
        <v>1235</v>
      </c>
      <c r="F21" s="176" t="s">
        <v>1236</v>
      </c>
    </row>
    <row r="22" spans="1:6" ht="28.8">
      <c r="A22" s="553">
        <v>21</v>
      </c>
      <c r="B22" s="324" t="s">
        <v>1237</v>
      </c>
      <c r="C22" s="321">
        <f>DATE(2026,1,2)</f>
        <v>46024</v>
      </c>
      <c r="D22" s="316">
        <f>DATE(2025,12,26)</f>
        <v>46017</v>
      </c>
      <c r="E22" s="120" t="s">
        <v>1238</v>
      </c>
      <c r="F22" s="325" t="s">
        <v>1239</v>
      </c>
    </row>
    <row r="23" spans="1:6" ht="18" customHeight="1">
      <c r="A23" s="553">
        <v>22</v>
      </c>
      <c r="B23" s="324" t="s">
        <v>1240</v>
      </c>
      <c r="C23" s="175">
        <f>DATE(2025,12,25)</f>
        <v>46016</v>
      </c>
      <c r="D23" s="316">
        <f>DATE(2025,7,4)</f>
        <v>45842</v>
      </c>
      <c r="E23" s="320" t="s">
        <v>1241</v>
      </c>
      <c r="F23" s="176" t="s">
        <v>1242</v>
      </c>
    </row>
    <row r="24" spans="1:6" ht="18" customHeight="1">
      <c r="A24" s="518">
        <v>23</v>
      </c>
      <c r="B24" s="324" t="s">
        <v>1244</v>
      </c>
      <c r="C24" s="326">
        <f>DATE(2025,12,22)</f>
        <v>46013</v>
      </c>
      <c r="D24" s="316">
        <f>DATE(2025,12,18)</f>
        <v>46009</v>
      </c>
      <c r="E24" s="147" t="s">
        <v>1245</v>
      </c>
      <c r="F24" s="322" t="s">
        <v>1246</v>
      </c>
    </row>
    <row r="25" spans="1:6" ht="18" customHeight="1">
      <c r="A25" s="518">
        <v>24</v>
      </c>
      <c r="B25" s="324" t="s">
        <v>1247</v>
      </c>
      <c r="C25" s="327">
        <f>DATE(2025,12,11)</f>
        <v>46002</v>
      </c>
      <c r="D25" s="316">
        <f>DATE(2025,12,10)</f>
        <v>46001</v>
      </c>
      <c r="E25" s="147" t="s">
        <v>1245</v>
      </c>
      <c r="F25" s="176" t="s">
        <v>1248</v>
      </c>
    </row>
    <row r="26" spans="1:6" ht="18" customHeight="1">
      <c r="A26" s="518">
        <v>25</v>
      </c>
      <c r="B26" s="328" t="s">
        <v>1249</v>
      </c>
      <c r="C26" s="175">
        <f>DATE(2025,11,28)</f>
        <v>45989</v>
      </c>
      <c r="D26" s="316">
        <f>DATE(2025,11,27)</f>
        <v>45988</v>
      </c>
      <c r="E26" s="147" t="s">
        <v>1250</v>
      </c>
      <c r="F26" s="176" t="s">
        <v>1251</v>
      </c>
    </row>
    <row r="27" spans="1:6" ht="18" customHeight="1">
      <c r="A27" s="553">
        <v>26</v>
      </c>
      <c r="B27" s="328" t="s">
        <v>1243</v>
      </c>
      <c r="C27" s="175">
        <f>DATE(2025,11,28)</f>
        <v>45989</v>
      </c>
      <c r="D27" s="316">
        <f>DATE(2025,11,28)</f>
        <v>45989</v>
      </c>
      <c r="E27" s="147" t="s">
        <v>1233</v>
      </c>
      <c r="F27" s="320" t="s">
        <v>1252</v>
      </c>
    </row>
    <row r="28" spans="1:6" ht="18" customHeight="1">
      <c r="A28" s="553">
        <v>27</v>
      </c>
      <c r="B28" s="328" t="s">
        <v>1253</v>
      </c>
      <c r="C28" s="327">
        <f>DATE(2025,11,24)</f>
        <v>45985</v>
      </c>
      <c r="D28" s="316">
        <f>DATE(2025,11,21)</f>
        <v>45982</v>
      </c>
      <c r="E28" s="147" t="s">
        <v>1254</v>
      </c>
      <c r="F28" s="176" t="s">
        <v>21</v>
      </c>
    </row>
    <row r="29" spans="1:6" ht="18" customHeight="1">
      <c r="A29" s="518">
        <v>28</v>
      </c>
      <c r="B29" s="328" t="s">
        <v>1255</v>
      </c>
      <c r="C29" s="175">
        <f>DATE(2025,11,7)</f>
        <v>45968</v>
      </c>
      <c r="D29" s="316">
        <f>DATE(2025,11,5)</f>
        <v>45966</v>
      </c>
      <c r="E29" s="147" t="s">
        <v>1256</v>
      </c>
      <c r="F29" s="176" t="s">
        <v>1257</v>
      </c>
    </row>
    <row r="30" spans="1:6" ht="28.2" customHeight="1">
      <c r="A30" s="518">
        <v>29</v>
      </c>
      <c r="B30" s="324" t="s">
        <v>1258</v>
      </c>
      <c r="C30" s="329">
        <f>DATE(2025,11,7)</f>
        <v>45968</v>
      </c>
      <c r="D30" s="316">
        <f>DATE(2025,9,20)</f>
        <v>45920</v>
      </c>
      <c r="E30" s="88" t="s">
        <v>1259</v>
      </c>
      <c r="F30" s="325" t="s">
        <v>1260</v>
      </c>
    </row>
    <row r="31" spans="1:6" ht="18" customHeight="1">
      <c r="A31" s="518">
        <v>30</v>
      </c>
      <c r="B31" s="324" t="s">
        <v>1261</v>
      </c>
      <c r="C31" s="175">
        <f>DATE(2025,10,31)</f>
        <v>45961</v>
      </c>
      <c r="D31" s="316">
        <f>DATE(2025,10,28)</f>
        <v>45958</v>
      </c>
      <c r="E31" s="330" t="s">
        <v>1262</v>
      </c>
      <c r="F31" s="176" t="s">
        <v>21</v>
      </c>
    </row>
    <row r="32" spans="1:6" ht="18" customHeight="1">
      <c r="A32" s="553">
        <v>31</v>
      </c>
      <c r="B32" s="324" t="s">
        <v>1263</v>
      </c>
      <c r="C32" s="175">
        <f>DATE(2025,10,6)</f>
        <v>45936</v>
      </c>
      <c r="D32" s="316">
        <f>DATE(2025,9,30)</f>
        <v>45930</v>
      </c>
      <c r="E32" s="320" t="s">
        <v>1264</v>
      </c>
      <c r="F32" s="176" t="s">
        <v>1265</v>
      </c>
    </row>
    <row r="33" spans="1:6" ht="18" customHeight="1">
      <c r="A33" s="553">
        <v>32</v>
      </c>
      <c r="B33" s="324" t="s">
        <v>1266</v>
      </c>
      <c r="C33" s="175">
        <v>45915</v>
      </c>
      <c r="D33" s="316">
        <f>DATE(2025,9,12)</f>
        <v>45912</v>
      </c>
      <c r="E33" s="320" t="s">
        <v>1267</v>
      </c>
      <c r="F33" s="176" t="s">
        <v>4905</v>
      </c>
    </row>
    <row r="34" spans="1:6" ht="28.8">
      <c r="A34" s="518">
        <v>33</v>
      </c>
      <c r="B34" s="328" t="s">
        <v>1268</v>
      </c>
      <c r="C34" s="321">
        <f>DATE(2025,8,8)</f>
        <v>45877</v>
      </c>
      <c r="D34" s="316">
        <f>DATE(2025,8,8)</f>
        <v>45877</v>
      </c>
      <c r="E34" s="88" t="s">
        <v>21</v>
      </c>
      <c r="F34" s="325" t="s">
        <v>21</v>
      </c>
    </row>
    <row r="35" spans="1:6" s="178" customFormat="1" ht="18" customHeight="1">
      <c r="A35" s="518">
        <v>34</v>
      </c>
      <c r="B35" s="332" t="s">
        <v>1444</v>
      </c>
      <c r="C35" s="333">
        <f>DATE(2025,8,1)</f>
        <v>45870</v>
      </c>
      <c r="D35" s="331"/>
      <c r="E35" s="334"/>
      <c r="F35" s="335" t="s">
        <v>1446</v>
      </c>
    </row>
    <row r="36" spans="1:6" s="178" customFormat="1" ht="18" customHeight="1">
      <c r="A36" s="518">
        <v>35</v>
      </c>
      <c r="B36" s="332" t="s">
        <v>4877</v>
      </c>
      <c r="C36" s="333">
        <f>DATE(2025,7,18)</f>
        <v>45856</v>
      </c>
      <c r="D36" s="331"/>
      <c r="E36" s="334"/>
      <c r="F36" s="335" t="s">
        <v>4906</v>
      </c>
    </row>
    <row r="37" spans="1:6" ht="18" customHeight="1">
      <c r="A37" s="553">
        <v>36</v>
      </c>
      <c r="B37" s="328" t="s">
        <v>1269</v>
      </c>
      <c r="C37" s="175">
        <f>DATE(2025,7,17)</f>
        <v>45855</v>
      </c>
      <c r="D37" s="198">
        <f>DATE(2025,7,17)</f>
        <v>45855</v>
      </c>
      <c r="E37" s="320" t="s">
        <v>21</v>
      </c>
      <c r="F37" s="176" t="s">
        <v>1270</v>
      </c>
    </row>
    <row r="38" spans="1:6" ht="18" customHeight="1">
      <c r="A38" s="553">
        <v>37</v>
      </c>
      <c r="B38" s="174" t="s">
        <v>1144</v>
      </c>
      <c r="C38" s="175">
        <f>DATE(2025,7,7)</f>
        <v>45845</v>
      </c>
      <c r="D38" s="198">
        <f>DATE(2025,7,4)</f>
        <v>45842</v>
      </c>
      <c r="E38" s="147" t="s">
        <v>1233</v>
      </c>
      <c r="F38" s="176" t="s">
        <v>1271</v>
      </c>
    </row>
    <row r="39" spans="1:6" ht="18" customHeight="1">
      <c r="A39" s="518">
        <v>38</v>
      </c>
      <c r="B39" s="174" t="s">
        <v>1272</v>
      </c>
      <c r="C39" s="175">
        <f>DATE(2025,6,27)</f>
        <v>45835</v>
      </c>
      <c r="D39" s="198">
        <f>DATE(2025,6,2)</f>
        <v>45810</v>
      </c>
      <c r="E39" s="147" t="s">
        <v>1273</v>
      </c>
      <c r="F39" s="176" t="s">
        <v>1274</v>
      </c>
    </row>
    <row r="40" spans="1:6" ht="18" customHeight="1">
      <c r="A40" s="518">
        <v>39</v>
      </c>
      <c r="B40" s="174" t="s">
        <v>1278</v>
      </c>
      <c r="C40" s="175">
        <f>DATE(2025,5,23)</f>
        <v>45800</v>
      </c>
      <c r="D40" s="198">
        <f>DATE(2025,5,16)</f>
        <v>45793</v>
      </c>
      <c r="E40" s="147" t="s">
        <v>1279</v>
      </c>
      <c r="F40" s="176" t="s">
        <v>1280</v>
      </c>
    </row>
    <row r="41" spans="1:6" s="178" customFormat="1" ht="18" customHeight="1">
      <c r="A41" s="518">
        <v>40</v>
      </c>
      <c r="B41" s="336" t="s">
        <v>2450</v>
      </c>
      <c r="C41" s="333">
        <f>DATE(2025,4,24)</f>
        <v>45771</v>
      </c>
      <c r="D41" s="331"/>
      <c r="E41" s="337"/>
      <c r="F41" s="335" t="s">
        <v>4876</v>
      </c>
    </row>
    <row r="42" spans="1:6" ht="18" customHeight="1">
      <c r="A42" s="553">
        <v>41</v>
      </c>
      <c r="B42" s="174" t="s">
        <v>1284</v>
      </c>
      <c r="C42" s="175">
        <f>DATE(2025,4,22)</f>
        <v>45769</v>
      </c>
      <c r="D42" s="198">
        <f>DATE(2025,4,22)</f>
        <v>45769</v>
      </c>
      <c r="E42" s="147" t="s">
        <v>1285</v>
      </c>
      <c r="F42" s="176" t="s">
        <v>1286</v>
      </c>
    </row>
    <row r="43" spans="1:6" ht="18" customHeight="1">
      <c r="A43" s="553">
        <v>42</v>
      </c>
      <c r="B43" s="174" t="s">
        <v>1287</v>
      </c>
      <c r="C43" s="175">
        <f>DATE(2025,5,16)</f>
        <v>45793</v>
      </c>
      <c r="D43" s="198">
        <f>DATE(2025,4,8)</f>
        <v>45755</v>
      </c>
      <c r="E43" s="147" t="s">
        <v>1288</v>
      </c>
      <c r="F43" s="176" t="s">
        <v>1289</v>
      </c>
    </row>
    <row r="44" spans="1:6" ht="28.8">
      <c r="A44" s="518">
        <v>43</v>
      </c>
      <c r="B44" s="174" t="s">
        <v>1290</v>
      </c>
      <c r="C44" s="175">
        <f>DATE(2025,3,27)</f>
        <v>45743</v>
      </c>
      <c r="D44" s="198">
        <f>DATE(2025,3,6)</f>
        <v>45722</v>
      </c>
      <c r="E44" s="147" t="s">
        <v>1291</v>
      </c>
      <c r="F44" s="176" t="s">
        <v>1292</v>
      </c>
    </row>
    <row r="45" spans="1:6" ht="18" customHeight="1">
      <c r="A45" s="518">
        <v>44</v>
      </c>
      <c r="B45" s="174" t="s">
        <v>1293</v>
      </c>
      <c r="C45" s="175">
        <f>DATE(2025,3,17)</f>
        <v>45733</v>
      </c>
      <c r="D45" s="198">
        <f>DATE(2025,3,13)</f>
        <v>45729</v>
      </c>
      <c r="E45" s="147" t="s">
        <v>1208</v>
      </c>
      <c r="F45" s="176" t="s">
        <v>1294</v>
      </c>
    </row>
    <row r="46" spans="1:6" ht="18" customHeight="1">
      <c r="A46" s="518">
        <v>45</v>
      </c>
      <c r="B46" s="174" t="s">
        <v>1296</v>
      </c>
      <c r="C46" s="175">
        <f t="shared" ref="C46" si="2">DATE(2025,3,3)</f>
        <v>45719</v>
      </c>
      <c r="D46" s="198">
        <f>DATE(2025,2,28)</f>
        <v>45716</v>
      </c>
      <c r="E46" s="320" t="s">
        <v>1297</v>
      </c>
      <c r="F46" s="176" t="s">
        <v>1298</v>
      </c>
    </row>
    <row r="47" spans="1:6" ht="18" customHeight="1">
      <c r="A47" s="553">
        <v>46</v>
      </c>
      <c r="B47" s="174" t="s">
        <v>1302</v>
      </c>
      <c r="C47" s="175">
        <f>DATE(2024,12,9)</f>
        <v>45635</v>
      </c>
      <c r="D47" s="198">
        <f>DATE(2024,12,8)</f>
        <v>45634</v>
      </c>
      <c r="E47" s="147" t="s">
        <v>1303</v>
      </c>
      <c r="F47" s="176" t="s">
        <v>1304</v>
      </c>
    </row>
    <row r="48" spans="1:6" ht="28.8">
      <c r="A48" s="553">
        <v>47</v>
      </c>
      <c r="B48" s="174" t="s">
        <v>1109</v>
      </c>
      <c r="C48" s="175">
        <f>DATE(2024,12,19)</f>
        <v>45645</v>
      </c>
      <c r="D48" s="198">
        <f>DATE(2024,12,18)</f>
        <v>45644</v>
      </c>
      <c r="E48" s="147" t="s">
        <v>1305</v>
      </c>
      <c r="F48" s="325" t="s">
        <v>21</v>
      </c>
    </row>
    <row r="49" spans="1:6" ht="18" customHeight="1">
      <c r="A49" s="518">
        <v>48</v>
      </c>
      <c r="B49" s="174" t="s">
        <v>1309</v>
      </c>
      <c r="C49" s="175">
        <f>DATE(2024,12,3)</f>
        <v>45629</v>
      </c>
      <c r="D49" s="198">
        <f>DATE(2024,10,29)</f>
        <v>45594</v>
      </c>
      <c r="E49" s="147" t="s">
        <v>1310</v>
      </c>
      <c r="F49" s="176" t="s">
        <v>1311</v>
      </c>
    </row>
    <row r="50" spans="1:6" ht="18" customHeight="1">
      <c r="A50" s="518">
        <v>49</v>
      </c>
      <c r="B50" s="174" t="s">
        <v>1312</v>
      </c>
      <c r="C50" s="175">
        <f>DATE(2024,11,29)</f>
        <v>45625</v>
      </c>
      <c r="D50" s="198">
        <f>DATE(2024,11,27)</f>
        <v>45623</v>
      </c>
      <c r="E50" s="147" t="s">
        <v>1313</v>
      </c>
      <c r="F50" s="174" t="s">
        <v>1314</v>
      </c>
    </row>
    <row r="51" spans="1:6" ht="15">
      <c r="A51" s="518">
        <v>50</v>
      </c>
      <c r="B51" s="174" t="s">
        <v>1317</v>
      </c>
      <c r="C51" s="175">
        <f>DATE(2024,10,11)</f>
        <v>45576</v>
      </c>
      <c r="D51" s="173" t="s">
        <v>324</v>
      </c>
      <c r="E51" s="320" t="s">
        <v>1318</v>
      </c>
      <c r="F51" s="176" t="s">
        <v>21</v>
      </c>
    </row>
    <row r="52" spans="1:6" ht="28.8">
      <c r="A52" s="553">
        <v>51</v>
      </c>
      <c r="B52" s="174" t="s">
        <v>1319</v>
      </c>
      <c r="C52" s="321">
        <f>DATE(2024,9,20)</f>
        <v>45555</v>
      </c>
      <c r="D52" s="279">
        <f>DATE(2024,2,9)</f>
        <v>45331</v>
      </c>
      <c r="E52" s="120" t="s">
        <v>1320</v>
      </c>
      <c r="F52" s="325" t="s">
        <v>1321</v>
      </c>
    </row>
    <row r="53" spans="1:6" ht="18" customHeight="1">
      <c r="A53" s="553">
        <v>52</v>
      </c>
      <c r="B53" s="174" t="s">
        <v>1322</v>
      </c>
      <c r="C53" s="175">
        <f>DATE(2024,9,2)</f>
        <v>45537</v>
      </c>
      <c r="D53" s="198">
        <f>DATE(2025,8,12)</f>
        <v>45881</v>
      </c>
      <c r="E53" s="147" t="s">
        <v>1323</v>
      </c>
      <c r="F53" s="176" t="s">
        <v>1324</v>
      </c>
    </row>
    <row r="54" spans="1:6" ht="15">
      <c r="A54" s="518">
        <v>53</v>
      </c>
      <c r="B54" s="174" t="s">
        <v>1325</v>
      </c>
      <c r="C54" s="175">
        <f>DATE(2024,7,31)</f>
        <v>45504</v>
      </c>
      <c r="D54" s="198">
        <f>DATE(2023,5,15)</f>
        <v>45061</v>
      </c>
      <c r="E54" s="147" t="s">
        <v>1307</v>
      </c>
      <c r="F54" s="174" t="s">
        <v>1326</v>
      </c>
    </row>
    <row r="55" spans="1:6" ht="18" customHeight="1">
      <c r="A55" s="518">
        <v>54</v>
      </c>
      <c r="B55" s="174" t="s">
        <v>1328</v>
      </c>
      <c r="C55" s="175">
        <f>DATE(2024,3,22)</f>
        <v>45373</v>
      </c>
      <c r="D55" s="198">
        <f>DATE(2023,4,30)</f>
        <v>45046</v>
      </c>
      <c r="E55" s="147" t="s">
        <v>1329</v>
      </c>
      <c r="F55" s="176" t="s">
        <v>1330</v>
      </c>
    </row>
    <row r="56" spans="1:6" ht="15">
      <c r="A56" s="518">
        <v>55</v>
      </c>
      <c r="B56" s="174" t="s">
        <v>1037</v>
      </c>
      <c r="C56" s="175">
        <f>DATE(2024,2,15)</f>
        <v>45337</v>
      </c>
      <c r="D56" s="173" t="s">
        <v>1331</v>
      </c>
      <c r="E56" s="147" t="s">
        <v>1332</v>
      </c>
      <c r="F56" s="176" t="s">
        <v>21</v>
      </c>
    </row>
    <row r="57" spans="1:6" s="6" customFormat="1" ht="15">
      <c r="A57" s="553">
        <v>56</v>
      </c>
      <c r="B57" s="174" t="s">
        <v>1334</v>
      </c>
      <c r="C57" s="175">
        <f>DATE(2023,12,21)</f>
        <v>45281</v>
      </c>
      <c r="D57" s="198">
        <f>DATE(2023,10,23)</f>
        <v>45222</v>
      </c>
      <c r="E57" s="147" t="s">
        <v>1335</v>
      </c>
      <c r="F57" s="176" t="s">
        <v>1336</v>
      </c>
    </row>
    <row r="58" spans="1:6" ht="15">
      <c r="A58" s="553">
        <v>57</v>
      </c>
      <c r="B58" s="174" t="s">
        <v>1337</v>
      </c>
      <c r="C58" s="175">
        <f>DATE(2023,12,6)</f>
        <v>45266</v>
      </c>
      <c r="D58" s="198">
        <f>DATE(2023,11,28)</f>
        <v>45258</v>
      </c>
      <c r="E58" s="147" t="s">
        <v>1338</v>
      </c>
      <c r="F58" s="176" t="s">
        <v>1339</v>
      </c>
    </row>
    <row r="59" spans="1:6" ht="18" customHeight="1">
      <c r="A59" s="518">
        <v>58</v>
      </c>
      <c r="B59" s="174" t="s">
        <v>1341</v>
      </c>
      <c r="C59" s="175">
        <f>DATE(2023,9,13)</f>
        <v>45182</v>
      </c>
      <c r="D59" s="198">
        <f>DATE(2023,9,11)</f>
        <v>45180</v>
      </c>
      <c r="E59" s="147" t="s">
        <v>1320</v>
      </c>
      <c r="F59" s="176" t="s">
        <v>1321</v>
      </c>
    </row>
    <row r="60" spans="1:6" ht="18" customHeight="1">
      <c r="A60" s="518">
        <v>59</v>
      </c>
      <c r="B60" s="174" t="s">
        <v>1348</v>
      </c>
      <c r="C60" s="175">
        <f>DATE(2022,6,7)</f>
        <v>44719</v>
      </c>
      <c r="D60" s="198">
        <f>DATE(2023,6,2)</f>
        <v>45079</v>
      </c>
      <c r="E60" s="147" t="s">
        <v>1349</v>
      </c>
      <c r="F60" s="174" t="s">
        <v>1350</v>
      </c>
    </row>
    <row r="61" spans="1:6" ht="28.8">
      <c r="A61" s="518">
        <v>60</v>
      </c>
      <c r="B61" s="174" t="s">
        <v>1351</v>
      </c>
      <c r="C61" s="321">
        <f>DATE(2022,4,28)</f>
        <v>44679</v>
      </c>
      <c r="D61" s="279">
        <f>DATE(2022,4,27)</f>
        <v>44678</v>
      </c>
      <c r="E61" s="120" t="s">
        <v>1352</v>
      </c>
      <c r="F61" s="325" t="s">
        <v>1353</v>
      </c>
    </row>
    <row r="62" spans="1:6" ht="18" customHeight="1">
      <c r="A62" s="553">
        <v>61</v>
      </c>
      <c r="B62" s="174" t="s">
        <v>1354</v>
      </c>
      <c r="C62" s="175">
        <f>DATE(2022,3,31)</f>
        <v>44651</v>
      </c>
      <c r="D62" s="198">
        <f>DATE(2022,3,19)</f>
        <v>44639</v>
      </c>
      <c r="E62" s="147" t="s">
        <v>1355</v>
      </c>
      <c r="F62" s="176" t="s">
        <v>1356</v>
      </c>
    </row>
    <row r="63" spans="1:6" ht="18" customHeight="1">
      <c r="A63" s="553">
        <v>62</v>
      </c>
      <c r="B63" s="174" t="s">
        <v>1357</v>
      </c>
      <c r="C63" s="175">
        <f>DATE(2022,3,31)</f>
        <v>44651</v>
      </c>
      <c r="D63" s="198">
        <f>DATE(2022,3,31)</f>
        <v>44651</v>
      </c>
      <c r="E63" s="147" t="s">
        <v>1358</v>
      </c>
      <c r="F63" s="176" t="s">
        <v>1359</v>
      </c>
    </row>
    <row r="64" spans="1:6" ht="18" customHeight="1">
      <c r="A64" s="518">
        <v>63</v>
      </c>
      <c r="B64" s="174" t="s">
        <v>1360</v>
      </c>
      <c r="C64" s="175">
        <f>DATE(2022,3,19)</f>
        <v>44639</v>
      </c>
      <c r="D64" s="198">
        <f>DATE(2022,3,8)</f>
        <v>44628</v>
      </c>
      <c r="E64" s="320" t="s">
        <v>1313</v>
      </c>
      <c r="F64" s="176" t="s">
        <v>1361</v>
      </c>
    </row>
    <row r="65" spans="1:6" ht="16.5" customHeight="1">
      <c r="A65" s="518">
        <v>64</v>
      </c>
      <c r="B65" s="174" t="s">
        <v>1362</v>
      </c>
      <c r="C65" s="338"/>
      <c r="D65" s="198">
        <f>DATE(2022,8,31)</f>
        <v>44804</v>
      </c>
      <c r="E65" s="147" t="s">
        <v>1343</v>
      </c>
      <c r="F65" s="176" t="s">
        <v>1363</v>
      </c>
    </row>
    <row r="66" spans="1:6" ht="28.8">
      <c r="A66" s="518">
        <v>65</v>
      </c>
      <c r="B66" s="174" t="s">
        <v>1365</v>
      </c>
      <c r="C66" s="321">
        <f>DATE(2021,2,3)</f>
        <v>44230</v>
      </c>
      <c r="D66" s="279">
        <f>DATE(2021,2,1)</f>
        <v>44228</v>
      </c>
      <c r="E66" s="120" t="s">
        <v>1366</v>
      </c>
      <c r="F66" s="176" t="s">
        <v>1367</v>
      </c>
    </row>
    <row r="67" spans="1:6" ht="28.8">
      <c r="A67" s="553">
        <v>66</v>
      </c>
      <c r="B67" s="174" t="s">
        <v>1368</v>
      </c>
      <c r="C67" s="321">
        <f>DATE(2021,2,1)</f>
        <v>44228</v>
      </c>
      <c r="D67" s="279">
        <f>DATE(2021,2,1)</f>
        <v>44228</v>
      </c>
      <c r="E67" s="147" t="s">
        <v>1369</v>
      </c>
      <c r="F67" s="325" t="s">
        <v>21</v>
      </c>
    </row>
    <row r="68" spans="1:6" ht="18" customHeight="1">
      <c r="A68" s="553">
        <v>67</v>
      </c>
      <c r="B68" s="174" t="s">
        <v>1370</v>
      </c>
      <c r="C68" s="175">
        <f>DATE(2020,12,17)</f>
        <v>44182</v>
      </c>
      <c r="D68" s="198">
        <f>DATE(2020,12,16)</f>
        <v>44181</v>
      </c>
      <c r="E68" s="147" t="s">
        <v>1346</v>
      </c>
      <c r="F68" s="176" t="s">
        <v>1371</v>
      </c>
    </row>
    <row r="69" spans="1:6" ht="28.8">
      <c r="A69" s="518">
        <v>68</v>
      </c>
      <c r="B69" s="174" t="s">
        <v>1372</v>
      </c>
      <c r="C69" s="321">
        <f>DATE(2020,12,8)</f>
        <v>44173</v>
      </c>
      <c r="D69" s="279">
        <f>DATE(2020,11,24)</f>
        <v>44159</v>
      </c>
      <c r="E69" s="120" t="s">
        <v>1346</v>
      </c>
      <c r="F69" s="325" t="s">
        <v>1373</v>
      </c>
    </row>
    <row r="70" spans="1:6" ht="18" customHeight="1">
      <c r="A70" s="518">
        <v>69</v>
      </c>
      <c r="B70" s="174" t="s">
        <v>1374</v>
      </c>
      <c r="C70" s="321">
        <f t="shared" ref="C70" si="3">DATE(2020,12,8)</f>
        <v>44173</v>
      </c>
      <c r="D70" s="279">
        <f>DATE(2020,12,3)</f>
        <v>44168</v>
      </c>
      <c r="E70" s="147" t="s">
        <v>1352</v>
      </c>
      <c r="F70" s="176" t="s">
        <v>1375</v>
      </c>
    </row>
    <row r="71" spans="1:6" ht="18" customHeight="1">
      <c r="A71" s="518">
        <v>70</v>
      </c>
      <c r="B71" s="174" t="s">
        <v>1376</v>
      </c>
      <c r="C71" s="321">
        <f>DATE(2020,11,13)</f>
        <v>44148</v>
      </c>
      <c r="D71" s="279">
        <f>DATE(2020,11,12)</f>
        <v>44147</v>
      </c>
      <c r="E71" s="147" t="s">
        <v>1346</v>
      </c>
      <c r="F71" s="176" t="s">
        <v>1377</v>
      </c>
    </row>
    <row r="72" spans="1:6" ht="18" customHeight="1">
      <c r="A72" s="553">
        <v>71</v>
      </c>
      <c r="B72" s="174" t="s">
        <v>1378</v>
      </c>
      <c r="C72" s="321">
        <f>DATE(2020,11,4)</f>
        <v>44139</v>
      </c>
      <c r="D72" s="279">
        <f>DATE(2020,11,2)</f>
        <v>44137</v>
      </c>
      <c r="E72" s="147" t="s">
        <v>1379</v>
      </c>
      <c r="F72" s="176" t="s">
        <v>1380</v>
      </c>
    </row>
    <row r="73" spans="1:6" ht="18" customHeight="1">
      <c r="A73" s="553">
        <v>72</v>
      </c>
      <c r="B73" s="174" t="s">
        <v>1381</v>
      </c>
      <c r="C73" s="321">
        <f>DATE(2020,10,24)</f>
        <v>44128</v>
      </c>
      <c r="D73" s="279">
        <f>DATE(2020,10,22)</f>
        <v>44126</v>
      </c>
      <c r="E73" s="147" t="s">
        <v>1382</v>
      </c>
      <c r="F73" s="176" t="s">
        <v>1383</v>
      </c>
    </row>
    <row r="74" spans="1:6" ht="28.8">
      <c r="A74" s="518">
        <v>73</v>
      </c>
      <c r="B74" s="174" t="s">
        <v>1384</v>
      </c>
      <c r="C74" s="321">
        <f>DATE(2020,8,27)</f>
        <v>44070</v>
      </c>
      <c r="D74" s="279">
        <f>DATE(2020,8,27)</f>
        <v>44070</v>
      </c>
      <c r="E74" s="120" t="s">
        <v>1346</v>
      </c>
      <c r="F74" s="325" t="s">
        <v>1385</v>
      </c>
    </row>
    <row r="75" spans="1:6" ht="28.8">
      <c r="A75" s="518">
        <v>74</v>
      </c>
      <c r="B75" s="174" t="s">
        <v>1386</v>
      </c>
      <c r="C75" s="175">
        <f>DATE(2020,8,13)</f>
        <v>44056</v>
      </c>
      <c r="D75" s="198">
        <f>DATE(2020,8,13)</f>
        <v>44056</v>
      </c>
      <c r="E75" s="147" t="s">
        <v>1387</v>
      </c>
      <c r="F75" s="176" t="s">
        <v>1388</v>
      </c>
    </row>
    <row r="76" spans="1:6" ht="18" customHeight="1">
      <c r="A76" s="518">
        <v>75</v>
      </c>
      <c r="B76" s="174" t="s">
        <v>1389</v>
      </c>
      <c r="C76" s="175">
        <f>DATE(2020,6,14)</f>
        <v>43996</v>
      </c>
      <c r="D76" s="198">
        <f>DATE(2020,5,29)</f>
        <v>43980</v>
      </c>
      <c r="E76" s="147" t="s">
        <v>1390</v>
      </c>
      <c r="F76" s="176" t="s">
        <v>1391</v>
      </c>
    </row>
    <row r="77" spans="1:6" ht="28.8">
      <c r="A77" s="553">
        <v>76</v>
      </c>
      <c r="B77" s="174" t="s">
        <v>1392</v>
      </c>
      <c r="C77" s="175">
        <f>DATE(2020,6,25)</f>
        <v>44007</v>
      </c>
      <c r="D77" s="198">
        <f>DATE(2020,6,15)</f>
        <v>43997</v>
      </c>
      <c r="E77" s="120" t="s">
        <v>1346</v>
      </c>
      <c r="F77" s="174" t="s">
        <v>1393</v>
      </c>
    </row>
    <row r="78" spans="1:6" ht="28.8">
      <c r="A78" s="553">
        <v>77</v>
      </c>
      <c r="B78" s="174" t="s">
        <v>1394</v>
      </c>
      <c r="C78" s="175">
        <f>DATE(2020,6,2)</f>
        <v>43984</v>
      </c>
      <c r="D78" s="198">
        <f>DATE(2020,6,1)</f>
        <v>43983</v>
      </c>
      <c r="E78" s="120" t="s">
        <v>1346</v>
      </c>
      <c r="F78" s="325" t="s">
        <v>1395</v>
      </c>
    </row>
    <row r="79" spans="1:6" ht="28.8">
      <c r="A79" s="518">
        <v>78</v>
      </c>
      <c r="B79" s="174" t="s">
        <v>1396</v>
      </c>
      <c r="C79" s="175">
        <f>DATE(2020,6,2)</f>
        <v>43984</v>
      </c>
      <c r="D79" s="198">
        <f>DATE(2020,6,2)</f>
        <v>43984</v>
      </c>
      <c r="E79" s="120" t="s">
        <v>1346</v>
      </c>
      <c r="F79" s="325" t="s">
        <v>1395</v>
      </c>
    </row>
    <row r="80" spans="1:6" ht="18" customHeight="1">
      <c r="A80" s="518">
        <v>79</v>
      </c>
      <c r="B80" s="174" t="s">
        <v>1397</v>
      </c>
      <c r="C80" s="338">
        <f>DATE(2020,5,27)</f>
        <v>43978</v>
      </c>
      <c r="D80" s="198">
        <f>DATE(2020,5,23)</f>
        <v>43974</v>
      </c>
      <c r="E80" s="147" t="s">
        <v>1398</v>
      </c>
      <c r="F80" s="176" t="s">
        <v>1399</v>
      </c>
    </row>
    <row r="81" spans="1:6" ht="28.8">
      <c r="A81" s="518">
        <v>80</v>
      </c>
      <c r="B81" s="174" t="s">
        <v>1400</v>
      </c>
      <c r="C81" s="175">
        <f>DATE(2020,5,6)</f>
        <v>43957</v>
      </c>
      <c r="D81" s="198">
        <f>DATE(2020,5,6)</f>
        <v>43957</v>
      </c>
      <c r="E81" s="147" t="s">
        <v>1401</v>
      </c>
      <c r="F81" s="176" t="s">
        <v>1402</v>
      </c>
    </row>
    <row r="82" spans="1:6" ht="18" customHeight="1">
      <c r="A82" s="553">
        <v>81</v>
      </c>
      <c r="B82" s="174" t="s">
        <v>1403</v>
      </c>
      <c r="C82" s="175">
        <f>DATE(2020,4,30)</f>
        <v>43951</v>
      </c>
      <c r="D82" s="198">
        <f>DATE(2020,4,27)</f>
        <v>43948</v>
      </c>
      <c r="E82" s="147" t="s">
        <v>1404</v>
      </c>
      <c r="F82" s="176" t="s">
        <v>1405</v>
      </c>
    </row>
    <row r="83" spans="1:6" ht="28.8">
      <c r="A83" s="553">
        <v>82</v>
      </c>
      <c r="B83" s="174" t="s">
        <v>1406</v>
      </c>
      <c r="C83" s="321">
        <f>DATE(2020,4,20)</f>
        <v>43941</v>
      </c>
      <c r="D83" s="279">
        <f>DATE(2020,4,15)</f>
        <v>43936</v>
      </c>
      <c r="E83" s="120" t="s">
        <v>1407</v>
      </c>
      <c r="F83" s="325" t="s">
        <v>1408</v>
      </c>
    </row>
    <row r="84" spans="1:6" ht="18" customHeight="1">
      <c r="A84" s="518">
        <v>83</v>
      </c>
      <c r="B84" s="174" t="s">
        <v>1409</v>
      </c>
      <c r="C84" s="175">
        <f>DATE(2020,3,15)</f>
        <v>43905</v>
      </c>
      <c r="D84" s="198">
        <f>DATE(2020,3,13)</f>
        <v>43903</v>
      </c>
      <c r="E84" s="147" t="s">
        <v>1410</v>
      </c>
      <c r="F84" s="176" t="s">
        <v>1405</v>
      </c>
    </row>
    <row r="85" spans="1:6" ht="28.8">
      <c r="A85" s="518">
        <v>84</v>
      </c>
      <c r="B85" s="174" t="s">
        <v>1411</v>
      </c>
      <c r="C85" s="321">
        <f>DATE(2020,1,17)</f>
        <v>43847</v>
      </c>
      <c r="D85" s="279">
        <f>DATE(2020,1,14)</f>
        <v>43844</v>
      </c>
      <c r="E85" s="120" t="s">
        <v>1346</v>
      </c>
      <c r="F85" s="325" t="s">
        <v>1412</v>
      </c>
    </row>
    <row r="86" spans="1:6" ht="18" customHeight="1">
      <c r="A86" s="518">
        <v>85</v>
      </c>
      <c r="B86" s="174" t="s">
        <v>1413</v>
      </c>
      <c r="C86" s="175">
        <f>DATE(2019,8,22)</f>
        <v>43699</v>
      </c>
      <c r="D86" s="198">
        <f>DATE(2019,8,1)</f>
        <v>43678</v>
      </c>
      <c r="E86" s="147" t="s">
        <v>1282</v>
      </c>
      <c r="F86" s="176" t="s">
        <v>1414</v>
      </c>
    </row>
    <row r="87" spans="1:6" ht="28.8">
      <c r="A87" s="553">
        <v>86</v>
      </c>
      <c r="B87" s="174" t="s">
        <v>1415</v>
      </c>
      <c r="C87" s="339">
        <f>DATE(2019,4,29)</f>
        <v>43584</v>
      </c>
      <c r="D87" s="279">
        <f>DATE(2019,4,25)</f>
        <v>43580</v>
      </c>
      <c r="E87" s="120" t="s">
        <v>1282</v>
      </c>
      <c r="F87" s="325" t="s">
        <v>1416</v>
      </c>
    </row>
    <row r="88" spans="1:6" ht="18" customHeight="1">
      <c r="A88" s="553">
        <v>87</v>
      </c>
      <c r="B88" s="174" t="s">
        <v>1417</v>
      </c>
      <c r="C88" s="175">
        <f>DATE(2019,4,15)</f>
        <v>43570</v>
      </c>
      <c r="D88" s="198">
        <f>DATE(2019,3,28)</f>
        <v>43552</v>
      </c>
      <c r="E88" s="147" t="s">
        <v>1418</v>
      </c>
      <c r="F88" s="176" t="s">
        <v>1419</v>
      </c>
    </row>
    <row r="89" spans="1:6" ht="18" customHeight="1">
      <c r="A89" s="518">
        <v>88</v>
      </c>
      <c r="B89" s="174" t="s">
        <v>1420</v>
      </c>
      <c r="C89" s="175">
        <f>DATE(2018,3,8)</f>
        <v>43167</v>
      </c>
      <c r="D89" s="173" t="s">
        <v>1421</v>
      </c>
      <c r="E89" s="147" t="s">
        <v>1422</v>
      </c>
      <c r="F89" s="176" t="s">
        <v>1423</v>
      </c>
    </row>
    <row r="90" spans="1:6" ht="18" customHeight="1">
      <c r="A90" s="518">
        <v>89</v>
      </c>
      <c r="B90" s="174" t="s">
        <v>1424</v>
      </c>
      <c r="C90" s="175">
        <f>DATE(2017,12,13)</f>
        <v>43082</v>
      </c>
      <c r="D90" s="198">
        <f>DATE(2017,12,11)</f>
        <v>43080</v>
      </c>
      <c r="E90" s="147" t="s">
        <v>1346</v>
      </c>
      <c r="F90" s="176" t="s">
        <v>1416</v>
      </c>
    </row>
    <row r="91" spans="1:6" ht="18" customHeight="1">
      <c r="A91" s="518">
        <v>90</v>
      </c>
      <c r="B91" s="174" t="s">
        <v>1425</v>
      </c>
      <c r="C91" s="175">
        <f>DATE(2017,11,13)</f>
        <v>43052</v>
      </c>
      <c r="D91" s="173"/>
      <c r="E91" s="147" t="s">
        <v>1422</v>
      </c>
      <c r="F91" s="174" t="s">
        <v>1426</v>
      </c>
    </row>
    <row r="92" spans="1:6" ht="18" customHeight="1">
      <c r="A92" s="553">
        <v>91</v>
      </c>
      <c r="B92" s="174" t="s">
        <v>1427</v>
      </c>
      <c r="C92" s="175">
        <f>DATE(2016,8,22)</f>
        <v>42604</v>
      </c>
      <c r="D92" s="198">
        <f>DATE(2016,8,17)</f>
        <v>42599</v>
      </c>
      <c r="E92" s="147" t="s">
        <v>1428</v>
      </c>
      <c r="F92" s="176" t="s">
        <v>1416</v>
      </c>
    </row>
    <row r="93" spans="1:6" ht="28.8">
      <c r="A93" s="553">
        <v>92</v>
      </c>
      <c r="B93" s="174" t="s">
        <v>1429</v>
      </c>
      <c r="C93" s="321">
        <f>DATE(2016,2,10)</f>
        <v>42410</v>
      </c>
      <c r="D93" s="90" t="s">
        <v>324</v>
      </c>
      <c r="E93" s="120" t="s">
        <v>1430</v>
      </c>
      <c r="F93" s="325" t="s">
        <v>1431</v>
      </c>
    </row>
    <row r="94" spans="1:6" ht="15">
      <c r="A94" s="518">
        <v>93</v>
      </c>
      <c r="B94" s="174" t="s">
        <v>1432</v>
      </c>
      <c r="C94" s="175">
        <f t="shared" ref="C94" si="4">DATE(2016,2,10)</f>
        <v>42410</v>
      </c>
      <c r="D94" s="173" t="s">
        <v>324</v>
      </c>
      <c r="E94" s="147" t="s">
        <v>1430</v>
      </c>
      <c r="F94" s="176" t="s">
        <v>1431</v>
      </c>
    </row>
    <row r="95" spans="1:6" ht="28.8">
      <c r="A95" s="518">
        <v>94</v>
      </c>
      <c r="B95" s="174" t="s">
        <v>1433</v>
      </c>
      <c r="C95" s="321">
        <f>DATE(2016,2,4)</f>
        <v>42404</v>
      </c>
      <c r="D95" s="90" t="s">
        <v>324</v>
      </c>
      <c r="E95" s="120" t="s">
        <v>1430</v>
      </c>
      <c r="F95" s="325" t="s">
        <v>1431</v>
      </c>
    </row>
    <row r="96" spans="1:6" ht="15">
      <c r="A96" s="518">
        <v>95</v>
      </c>
      <c r="B96" s="174" t="s">
        <v>1434</v>
      </c>
      <c r="C96" s="175">
        <f>DATE(2015,6,8)</f>
        <v>42163</v>
      </c>
      <c r="D96" s="198">
        <f>DATE(2015,6,5)</f>
        <v>42160</v>
      </c>
      <c r="E96" s="147" t="s">
        <v>1343</v>
      </c>
      <c r="F96" s="174" t="s">
        <v>1435</v>
      </c>
    </row>
    <row r="97" spans="1:6" ht="15">
      <c r="A97" s="553">
        <v>96</v>
      </c>
      <c r="B97" s="174" t="s">
        <v>1436</v>
      </c>
      <c r="C97" s="175">
        <f>DATE(2015,5,11)</f>
        <v>42135</v>
      </c>
      <c r="D97" s="173" t="s">
        <v>1301</v>
      </c>
      <c r="E97" s="147" t="s">
        <v>1437</v>
      </c>
      <c r="F97" s="176" t="s">
        <v>1438</v>
      </c>
    </row>
    <row r="98" spans="1:6" ht="15">
      <c r="A98" s="553">
        <v>97</v>
      </c>
      <c r="B98" s="174" t="s">
        <v>1439</v>
      </c>
      <c r="C98" s="175">
        <f>DATE(2013,6,27)</f>
        <v>41452</v>
      </c>
      <c r="D98" s="198">
        <f>DATE(2020,11,6)</f>
        <v>44141</v>
      </c>
      <c r="E98" s="340" t="s">
        <v>1440</v>
      </c>
      <c r="F98" s="176" t="s">
        <v>1416</v>
      </c>
    </row>
    <row r="99" spans="1:6" ht="18" customHeight="1">
      <c r="A99" s="79"/>
      <c r="B99" s="95"/>
      <c r="C99" s="81"/>
      <c r="D99" s="80"/>
      <c r="E99" s="82"/>
      <c r="F99" s="73"/>
    </row>
    <row r="100" spans="1:6" s="486" customFormat="1" ht="18" customHeight="1">
      <c r="A100" s="480"/>
      <c r="B100" s="481" t="s">
        <v>1441</v>
      </c>
      <c r="C100" s="482"/>
      <c r="D100" s="483"/>
      <c r="E100" s="484"/>
      <c r="F100" s="485"/>
    </row>
    <row r="101" spans="1:6" s="486" customFormat="1" ht="18" customHeight="1">
      <c r="A101" s="487"/>
      <c r="B101" s="488" t="s">
        <v>1195</v>
      </c>
      <c r="C101" s="489" t="s">
        <v>1196</v>
      </c>
      <c r="D101" s="488" t="s">
        <v>1197</v>
      </c>
      <c r="E101" s="488" t="s">
        <v>1198</v>
      </c>
      <c r="F101" s="488" t="s">
        <v>1199</v>
      </c>
    </row>
    <row r="102" spans="1:6" ht="18" customHeight="1">
      <c r="A102" s="341">
        <v>1</v>
      </c>
      <c r="B102" s="342" t="s">
        <v>1442</v>
      </c>
      <c r="C102" s="343">
        <f>DATE(2015,10,15)</f>
        <v>42292</v>
      </c>
      <c r="D102" s="343">
        <f>DATE(2015,10,15)</f>
        <v>42292</v>
      </c>
      <c r="E102" s="83" t="s">
        <v>21</v>
      </c>
      <c r="F102" s="309" t="s">
        <v>1443</v>
      </c>
    </row>
    <row r="103" spans="1:6" ht="18" customHeight="1">
      <c r="A103" s="341">
        <v>2</v>
      </c>
      <c r="B103" s="342" t="s">
        <v>1444</v>
      </c>
      <c r="C103" s="343">
        <f>DATE(2025,8,1)</f>
        <v>45870</v>
      </c>
      <c r="D103" s="343">
        <f>DATE(2025,8,1)</f>
        <v>45870</v>
      </c>
      <c r="E103" s="83" t="s">
        <v>1445</v>
      </c>
      <c r="F103" s="309" t="s">
        <v>1446</v>
      </c>
    </row>
    <row r="104" spans="1:6" ht="18" customHeight="1">
      <c r="A104" s="341">
        <v>3</v>
      </c>
      <c r="B104" s="342" t="s">
        <v>1447</v>
      </c>
      <c r="C104" s="343">
        <f>DATE(2025,7,6)</f>
        <v>45844</v>
      </c>
      <c r="D104" s="343">
        <f>DATE(2025,8,1)</f>
        <v>45870</v>
      </c>
      <c r="E104" s="83" t="s">
        <v>1448</v>
      </c>
      <c r="F104" s="309" t="s">
        <v>1449</v>
      </c>
    </row>
    <row r="105" spans="1:6" ht="14.4">
      <c r="A105" s="341">
        <v>4</v>
      </c>
      <c r="B105" s="342" t="s">
        <v>1450</v>
      </c>
      <c r="C105" s="343">
        <f>DATE(2024,11,14)</f>
        <v>45610</v>
      </c>
      <c r="D105" s="343">
        <f>DATE(2024,11,6)</f>
        <v>45602</v>
      </c>
      <c r="E105" s="83" t="s">
        <v>1451</v>
      </c>
      <c r="F105" s="309" t="s">
        <v>1452</v>
      </c>
    </row>
    <row r="106" spans="1:6" ht="28.8">
      <c r="A106" s="341">
        <v>5</v>
      </c>
      <c r="B106" s="342" t="s">
        <v>1453</v>
      </c>
      <c r="C106" s="344">
        <f>DATE(2024,10,15)</f>
        <v>45580</v>
      </c>
      <c r="D106" s="344">
        <f>DATE(2024,8,23)</f>
        <v>45527</v>
      </c>
      <c r="E106" s="89" t="s">
        <v>1379</v>
      </c>
      <c r="F106" s="312" t="s">
        <v>1454</v>
      </c>
    </row>
    <row r="107" spans="1:6" ht="18" customHeight="1">
      <c r="A107" s="341">
        <v>6</v>
      </c>
      <c r="B107" s="342" t="s">
        <v>1455</v>
      </c>
      <c r="C107" s="343">
        <f>DATE(2024,9,24)</f>
        <v>45559</v>
      </c>
      <c r="D107" s="343">
        <f>DATE(2024,9,19)</f>
        <v>45554</v>
      </c>
      <c r="E107" s="83" t="s">
        <v>1358</v>
      </c>
      <c r="F107" s="309" t="s">
        <v>1456</v>
      </c>
    </row>
    <row r="108" spans="1:6" ht="28.8">
      <c r="A108" s="341">
        <v>8</v>
      </c>
      <c r="B108" s="342" t="s">
        <v>1457</v>
      </c>
      <c r="C108" s="344">
        <f>DATE(2024,7,30)</f>
        <v>45503</v>
      </c>
      <c r="D108" s="344">
        <f>DATE(2024,7,25)</f>
        <v>45498</v>
      </c>
      <c r="E108" s="89" t="s">
        <v>1458</v>
      </c>
      <c r="F108" s="312" t="s">
        <v>1459</v>
      </c>
    </row>
    <row r="109" spans="1:6" ht="14.4">
      <c r="A109" s="341">
        <v>9</v>
      </c>
      <c r="B109" s="342" t="s">
        <v>1460</v>
      </c>
      <c r="C109" s="343">
        <f>DATE(2021,9,25)</f>
        <v>44464</v>
      </c>
      <c r="D109" s="343">
        <f>DATE(2021,9,25)</f>
        <v>44464</v>
      </c>
      <c r="E109" s="83" t="s">
        <v>1410</v>
      </c>
      <c r="F109" s="309" t="s">
        <v>1461</v>
      </c>
    </row>
    <row r="110" spans="1:6" ht="28.8">
      <c r="A110" s="341">
        <v>10</v>
      </c>
      <c r="B110" s="342" t="s">
        <v>1462</v>
      </c>
      <c r="C110" s="344">
        <f>DATE(2021,2,2)</f>
        <v>44229</v>
      </c>
      <c r="D110" s="344">
        <f>DATE(2021,1,25)</f>
        <v>44221</v>
      </c>
      <c r="E110" s="89" t="s">
        <v>1352</v>
      </c>
      <c r="F110" s="312" t="s">
        <v>1408</v>
      </c>
    </row>
    <row r="111" spans="1:6" ht="18" customHeight="1">
      <c r="A111" s="341">
        <v>11</v>
      </c>
      <c r="B111" s="342" t="s">
        <v>1463</v>
      </c>
      <c r="C111" s="343">
        <f>DATE(2020,10,5)</f>
        <v>44109</v>
      </c>
      <c r="D111" s="343">
        <f>DATE(2020,10,1)</f>
        <v>44105</v>
      </c>
      <c r="E111" s="83" t="s">
        <v>1346</v>
      </c>
      <c r="F111" s="309" t="s">
        <v>1464</v>
      </c>
    </row>
    <row r="112" spans="1:6" ht="18" customHeight="1">
      <c r="A112" s="341">
        <v>12</v>
      </c>
      <c r="B112" s="342" t="s">
        <v>1465</v>
      </c>
      <c r="C112" s="343">
        <f>DATE(2020,1,30)</f>
        <v>43860</v>
      </c>
      <c r="D112" s="343">
        <f>DATE(2020,1,29)</f>
        <v>43859</v>
      </c>
      <c r="E112" s="83" t="s">
        <v>1346</v>
      </c>
      <c r="F112" s="342" t="s">
        <v>1466</v>
      </c>
    </row>
    <row r="113" spans="1:6" ht="18" customHeight="1">
      <c r="A113" s="341">
        <v>13</v>
      </c>
      <c r="B113" s="342" t="s">
        <v>1467</v>
      </c>
      <c r="C113" s="343">
        <f>DATE(2018,11,26)</f>
        <v>43430</v>
      </c>
      <c r="D113" s="345" t="s">
        <v>1468</v>
      </c>
      <c r="E113" s="346" t="s">
        <v>1469</v>
      </c>
      <c r="F113" s="309" t="s">
        <v>1470</v>
      </c>
    </row>
    <row r="114" spans="1:6" ht="18" customHeight="1">
      <c r="A114" s="341">
        <v>14</v>
      </c>
      <c r="B114" s="342" t="s">
        <v>1471</v>
      </c>
      <c r="C114" s="343">
        <f>DATE(2017,7,21)</f>
        <v>42937</v>
      </c>
      <c r="D114" s="343">
        <f>DATE(2018,1,13)</f>
        <v>43113</v>
      </c>
      <c r="E114" s="83" t="s">
        <v>1358</v>
      </c>
      <c r="F114" s="309" t="s">
        <v>1472</v>
      </c>
    </row>
    <row r="115" spans="1:6" ht="18" customHeight="1">
      <c r="A115" s="341">
        <v>15</v>
      </c>
      <c r="B115" s="342" t="s">
        <v>1473</v>
      </c>
      <c r="C115" s="343">
        <f>DATE(2013,9,27)</f>
        <v>41544</v>
      </c>
      <c r="D115" s="345" t="s">
        <v>1468</v>
      </c>
      <c r="E115" s="346" t="s">
        <v>1469</v>
      </c>
      <c r="F115" s="309" t="s">
        <v>1470</v>
      </c>
    </row>
    <row r="116" spans="1:6" ht="18" customHeight="1">
      <c r="A116" s="341">
        <v>16</v>
      </c>
      <c r="B116" s="342" t="s">
        <v>1474</v>
      </c>
      <c r="C116" s="343">
        <f>DATE(2013,9,27)</f>
        <v>41544</v>
      </c>
      <c r="D116" s="345" t="s">
        <v>1468</v>
      </c>
      <c r="E116" s="346" t="s">
        <v>1475</v>
      </c>
      <c r="F116" s="309" t="s">
        <v>1470</v>
      </c>
    </row>
  </sheetData>
  <autoFilter ref="A1:G98" xr:uid="{00000000-0001-0000-0100-000000000000}"/>
  <hyperlinks>
    <hyperlink ref="E42" r:id="rId1" display="https://www.firstpost.com/world/india-values-historic-relations-with-saudi-arabia-pm-modi-emplanes-for-jeddah-for-2-day-visit-13881957.html" xr:uid="{00000000-0004-0000-0100-000000000000}"/>
    <hyperlink ref="E40" r:id="rId2" display="https://www.expresshealthcare.in/news/why-indias-expanding-waistline-demands-urgent-attention/449139/" xr:uid="{00000000-0004-0000-0100-000002000000}"/>
    <hyperlink ref="E38" r:id="rId3" location="google_vignette" display="https://www.hindustantimes.com/ht-insight/economy/from-upi-to-uli-india-s-next-digital-infrastructure-imperative-101751615616271.html - google_vignette" xr:uid="{00000000-0004-0000-0100-000004000000}"/>
    <hyperlink ref="E39" r:id="rId4" display="https://nuffoodsspectrum.in/2025/06/02/strengthening-nutrition-security-through-multi-stakeholder-action.html" xr:uid="{00000000-0004-0000-0100-000007000000}"/>
    <hyperlink ref="E43" r:id="rId5" display="https://www.pressreader.com/india/millennium-post-kolkata/20250408/281994678316319" xr:uid="{00000000-0004-0000-0100-000008000000}"/>
    <hyperlink ref="E44" r:id="rId6" display="https://nuffoodsspectrum.in/2025/03/06/from-food-security-towards-nutrition-security.html" xr:uid="{00000000-0004-0000-0100-000009000000}"/>
    <hyperlink ref="E45" r:id="rId7" display="https://www.tbsnews.net/thoughts/can-bangladesh-close-credit-gap-microenterprises-through-digital-platforms-1090396" xr:uid="{00000000-0004-0000-0100-00000A000000}"/>
    <hyperlink ref="E47" r:id="rId8" display="https://www.expresshealthcare.in/digital-issue/express-healthcare-december-2024/447213/" xr:uid="{00000000-0004-0000-0100-00000E000000}"/>
    <hyperlink ref="E48" r:id="rId9" display="https://www.e-mfp.eu/_files/ugd/a1f099_97c2083ff8574f2e9ee16bbdfd401513.pdf" xr:uid="{00000000-0004-0000-0100-00000F000000}"/>
    <hyperlink ref="E49" r:id="rId10" display="https://www.findevgateway.org/blog/2024/10/how-to-fight-fraud-against-government-program-beneficiaries-in-india" xr:uid="{00000000-0004-0000-0100-000011000000}"/>
    <hyperlink ref="E50" r:id="rId11" display="https://www.thejakartapost.com/opinion/2024/11/27/beyond-the-catch-how-fish-can-fuel-a-healthier-indonesia.html" xr:uid="{00000000-0004-0000-0100-000012000000}"/>
    <hyperlink ref="E52" r:id="rId12" display="https://government.economictimes.indiatimes.com/blog/to-build-30-trillion-economy-by-2047-focus-on-climate-change-food-security-skills-urbanisation-healthcare/107548250?utm_source=top_story&amp;utm_medium=homepage" xr:uid="{00000000-0004-0000-0100-000014000000}"/>
    <hyperlink ref="E55" r:id="rId13" display="https://economictimes.indiatimes.com/opinion/et-commentary/view-digital-gender-equality-strives-to-connect-half-the-world-to-the-internet/articleshow/99893652.cms" xr:uid="{00000000-0004-0000-0100-000016000000}"/>
    <hyperlink ref="E56" r:id="rId14" display="https://www.indiamobilecongress.com/docs/India_Digital_Inclusion.pdf" xr:uid="{00000000-0004-0000-0100-000017000000}"/>
    <hyperlink ref="E57" r:id="rId15" display="https://www.hertie-school.org/en/digital-governance/research/blog/detail/content/careful-not-customary-how-can-consent-terms-be-better-designed-to-protect-users" xr:uid="{00000000-0004-0000-0100-000019000000}"/>
    <hyperlink ref="E58" r:id="rId16" display="https://www.thehindubusinessline.com/opinion/why-women-entrepreneurs-are-seeking-mentors/article67584380.ece" xr:uid="{00000000-0004-0000-0100-00001A000000}"/>
    <hyperlink ref="E59" r:id="rId17" display="https://government.economictimes.indiatimes.com/blog/atmanirbhar-naari-for-an-atmanirbhar-india/103574301" xr:uid="{00000000-0004-0000-0100-00001C000000}"/>
    <hyperlink ref="E60" r:id="rId18" display="https://www.financialaccess.org/blog/2022/6/2/the-revolution-must-be-digitalized" xr:uid="{00000000-0004-0000-0100-00001F000000}"/>
    <hyperlink ref="E61" r:id="rId19" display="https://nextbillion.net/india-financial-inclusion-women-close-gender-gap/" xr:uid="{00000000-0004-0000-0100-000020000000}"/>
    <hyperlink ref="E62" r:id="rId20" display="https://theprint.in/opinion/job-losses-business-closure-covid-hit-female-entrepreneurs-heres-how-to-support-them/624570/" xr:uid="{00000000-0004-0000-0100-000021000000}"/>
    <hyperlink ref="E63" r:id="rId21" display="https://www.thehindubusinessline.com/opinion/caregiving-the-hidden-engine-of-the-economy/article65258954.ece" xr:uid="{00000000-0004-0000-0100-000022000000}"/>
    <hyperlink ref="E65" r:id="rId22" display="https://www.cgap.org/blog/cool-crisis-how-bangladeshi-mfis-stay-resilient?utm_source=hootsuite&amp;utm_medium=&amp;utm_term=&amp;utm_content=&amp;utm_campaign" xr:uid="{00000000-0004-0000-0100-000023000000}"/>
    <hyperlink ref="E66" r:id="rId23" display="https://nextbillion.net/covid19-india-healthcare-system-future-shocks/" xr:uid="{00000000-0004-0000-0100-000025000000}"/>
    <hyperlink ref="E67" r:id="rId24" display="https://www.thedailystar.net/business/news/96pc-small-enterprises-suffer-fall-income-study-2036709" xr:uid="{00000000-0004-0000-0100-000026000000}"/>
    <hyperlink ref="E68" r:id="rId25" display="https://nextbillion.net/fintechs-data-strategy-business/?utm_sq=glq8ybw6d4&amp;utm_source=twitter&amp;utm_medium=social&amp;utm_campaign=nextbillion&amp;utm_content=nbdailyposttweets" xr:uid="{00000000-0004-0000-0100-000027000000}"/>
    <hyperlink ref="E70" r:id="rId26" display="https://nextbillion.net/online-commerce-covid19-industry-bangladesh/" xr:uid="{00000000-0004-0000-0100-000028000000}"/>
    <hyperlink ref="E71" r:id="rId27" display="https://nextbillion.net/india-transform-fertilizer-subsidy-program/" xr:uid="{00000000-0004-0000-0100-000029000000}"/>
    <hyperlink ref="E72" r:id="rId28" display="https://www.findevgateway.org/blog/2020/11/will-pandemic-exacerbate-or-mitigate-digital-gender-gap" xr:uid="{00000000-0004-0000-0100-00002A000000}"/>
    <hyperlink ref="E73" r:id="rId29" display="https://www.livemint.com/Opinion/WzvT7XP8m6cLBIqPx4Ff1I/Opinion--Designing-financial-products-for-women.html" xr:uid="{00000000-0004-0000-0100-00002B000000}"/>
    <hyperlink ref="E74" r:id="rId30" display="https://nextbillion.net/indonesias-fintech-startups-survive-covid19/" xr:uid="{00000000-0004-0000-0100-00002C000000}"/>
    <hyperlink ref="E75" r:id="rId31" display="https://nextbillion.net/12-recommendations-help-financial-institutions-covid/" xr:uid="{00000000-0004-0000-0100-00002D000000}"/>
    <hyperlink ref="E76" r:id="rId32" display="https://sokodirectory.com/2020/05/the-power-of-unified-digital-agricultural-services/" xr:uid="{00000000-0004-0000-0100-00002E000000}"/>
    <hyperlink ref="E77" r:id="rId33" display="https://nextbillion.net/india-financial-inclusion-lab-startup-accelerator/?utm_sq=gftj9e0u1s&amp;utm_source=twitter&amp;utm_medium=social&amp;utm_campaign=nextbillionfh&amp;utm_content=mscposts" xr:uid="{00000000-0004-0000-0100-00002F000000}"/>
    <hyperlink ref="E78" r:id="rId34" display="https://nextbillion.net/weathering-covid-fintech-survive-pandemic/?utm_sq=gfdbsj8118&amp;utm_source=twitter&amp;utm_medium=social&amp;utm_campaign=nextbillionfh&amp;utm_content=mscposts" xr:uid="{00000000-0004-0000-0100-000030000000}"/>
    <hyperlink ref="E79" r:id="rId35" display="https://nextbillion.net/weathering-covid-emerging-markets-fintech/?utm_sq=gfda0ykvsb&amp;utm_source=twitter&amp;utm_medium=social&amp;utm_campaign=nextbillion&amp;utm_content=mscposts" xr:uid="{00000000-0004-0000-0100-000031000000}"/>
    <hyperlink ref="E80" r:id="rId36" display="https://www.zeebiz.com/india/news-one-nation-one-ration-card-5-ways-to-really-help-pds-beneficiaries-127403" xr:uid="{00000000-0004-0000-0100-000032000000}"/>
    <hyperlink ref="E81" r:id="rId37" display="https://health.economictimes.indiatimes.com/news/industry/an-insight-into-the-case-fatality-rate-and-preventive-measures-taken-by-government-in-response-to-covid-19/75567454" xr:uid="{00000000-0004-0000-0100-000033000000}"/>
    <hyperlink ref="E82" r:id="rId38" display="https://today.thefinancialexpress.com.bd/views-opinion/is-it-the-right-time-for-wallet-interoperability-in-bangladesh-1587910037" xr:uid="{00000000-0004-0000-0100-000034000000}"/>
    <hyperlink ref="E83" r:id="rId39" display="https://www.news18.com/news/tech/industry-dialogue-digitization-wave-will-help-fintech-startups-in-post-covid-times-2578457.html?cat=tech&amp;headline=industry-dialogue-digitization-wave-will-help-fintech-startups-in-post-covid-times&amp;id=2578457" xr:uid="{00000000-0004-0000-0100-000035000000}"/>
    <hyperlink ref="E84" r:id="rId40" display="https://thefinancialexpress.com.bd/views/analysis/the-dfs-ecosystem-in-bangladesh-1584113440" xr:uid="{00000000-0004-0000-0100-000036000000}"/>
    <hyperlink ref="E85" r:id="rId41" display="https://nextbillion.net/financial-inclusion-not-inclusive-for-women/?utm_sq=gavmy482ld&amp;utm_source=twitter&amp;utm_medium=social&amp;utm_campaign=nextbillion&amp;utm_content=nbdailyposttweets" xr:uid="{00000000-0004-0000-0100-000037000000}"/>
    <hyperlink ref="E86" r:id="rId42" display="https://nextbillion.net/lessons-from-indian-fintech-startups/" xr:uid="{00000000-0004-0000-0100-000038000000}"/>
    <hyperlink ref="E87" r:id="rId43" display="https://nextbillion.net/future-of-financial-inclusion/" xr:uid="{00000000-0004-0000-0100-000039000000}"/>
    <hyperlink ref="E88" r:id="rId44" display="https://www.uncdf.org/shift/homepage" xr:uid="{00000000-0004-0000-0100-00003A000000}"/>
    <hyperlink ref="E89" r:id="rId45"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00000000-0004-0000-0100-00003B000000}"/>
    <hyperlink ref="E90" r:id="rId46" display="https://nextbillion.net/the-clear-blue-water-on-the-other-side-of-the-digital-divide/" xr:uid="{00000000-0004-0000-0100-00003C000000}"/>
    <hyperlink ref="E91" r:id="rId47" display="https://www.undp.org/pacific/projects/pacific-financial-inclusion-programme" xr:uid="{00000000-0004-0000-0100-00003D000000}"/>
    <hyperlink ref="E92" r:id="rId48" display="http://telecom.economictimes.indiatimes.com/tele-talk/will-mobile-network-operators-make-it-as-payments-banks/1724" xr:uid="{00000000-0004-0000-0100-00003E000000}"/>
    <hyperlink ref="E93" r:id="rId49" display="http://cfi-blog.org/" xr:uid="{00000000-0004-0000-0100-00003F000000}"/>
    <hyperlink ref="E94" r:id="rId50" display="http://cfi-blog.org/" xr:uid="{00000000-0004-0000-0100-000040000000}"/>
    <hyperlink ref="E95" r:id="rId51" display="http://cfi-blog.org/" xr:uid="{00000000-0004-0000-0100-000041000000}"/>
    <hyperlink ref="E97" r:id="rId52" display="http://monthofmicrofinance.org/engage/blog/should-microfinance-go-digital/" xr:uid="{00000000-0004-0000-0100-000042000000}"/>
    <hyperlink ref="E96" r:id="rId53" xr:uid="{00000000-0004-0000-0100-000043000000}"/>
    <hyperlink ref="E98" r:id="rId54" xr:uid="{00000000-0004-0000-0100-000044000000}"/>
    <hyperlink ref="E53" r:id="rId55" xr:uid="{00000000-0004-0000-0100-000045000000}"/>
    <hyperlink ref="E54" r:id="rId56" xr:uid="{00000000-0004-0000-0100-000046000000}"/>
    <hyperlink ref="E69" r:id="rId57" xr:uid="{00000000-0004-0000-0100-000047000000}"/>
    <hyperlink ref="E102" r:id="rId58" xr:uid="{00000000-0004-0000-0100-000048000000}"/>
    <hyperlink ref="E103" r:id="rId59" display="https://magdalene.co/story/financial-inclusion-women-disabilities-indonesia/" xr:uid="{00000000-0004-0000-0100-000049000000}"/>
    <hyperlink ref="E104" r:id="rId60" display="https://www.insideindonesia.org/archive/articles/disability-and-exclusion" xr:uid="{00000000-0004-0000-0100-00004A000000}"/>
    <hyperlink ref="E105" r:id="rId61" display="https://krishijagran.com/featured/from-ration-shops-to-nutrition-hubs-a-nutritional-revolution-in-the-making/" xr:uid="{00000000-0004-0000-0100-00004B000000}"/>
    <hyperlink ref="E106" r:id="rId62" display="https://www.findevgateway.org/blog/2024/08/five-recommendations-to-address-insurance-mis-selling" xr:uid="{00000000-0004-0000-0100-00004C000000}"/>
    <hyperlink ref="E107" r:id="rId63" display="https://www.thehindubusinessline.com/opinion/why-womens-savings-dont-translate-into-credit/article68661136.ece" xr:uid="{00000000-0004-0000-0100-00004D000000}"/>
    <hyperlink ref="E108" r:id="rId64" display="https://blogs.griffith.edu.au/asiainsights/bridging-the-digital-divide-by-enhancing-effective-digital-finance-usage-among-the-poor-an-rct-project-part-2/" xr:uid="{00000000-0004-0000-0100-00004E000000}"/>
    <hyperlink ref="E109" r:id="rId65" display="https://www.thefinancialexpress.com.bd/views/views/facilitating-cottage-micro-small-and-medium-enterprises-in-the-pandemic-1632581645" xr:uid="{00000000-0004-0000-0100-00004F000000}"/>
    <hyperlink ref="E110" r:id="rId66" display="https://nextbillion.net/financial-inclusion-success-stories-covid19/" xr:uid="{00000000-0004-0000-0100-000050000000}"/>
    <hyperlink ref="E111" r:id="rId67" display="https://nextbillion.net/gender-gap-women-coronavirus-low-income-countries/" xr:uid="{00000000-0004-0000-0100-000051000000}"/>
    <hyperlink ref="E112" r:id="rId68" display="https://nextbillion.net/full-yet-undernourished-india-nutrition-security/" xr:uid="{00000000-0004-0000-0100-000052000000}"/>
    <hyperlink ref="E114" r:id="rId69" display="https://www.thehindubusinessline.com/opinion/addressing-the-soil-health-crisis/article9579745.ece" xr:uid="{00000000-0004-0000-0100-000053000000}"/>
    <hyperlink ref="B33" r:id="rId70" xr:uid="{D29E96B0-24CA-45EF-93A1-7EF7B65CF468}"/>
    <hyperlink ref="B32" r:id="rId71" xr:uid="{CA6EFCEC-8728-41BC-AB7C-EDA63837B0A5}"/>
    <hyperlink ref="B31" r:id="rId72" xr:uid="{86E2165A-95BF-4300-AE7E-4C040C14A3BC}"/>
    <hyperlink ref="B30" r:id="rId73" xr:uid="{A8C260C3-BA46-44A0-B4F4-524FF69B21A7}"/>
    <hyperlink ref="E29" r:id="rId74" xr:uid="{DFF997BA-A914-477B-A959-22186299D52B}"/>
    <hyperlink ref="E28" r:id="rId75" xr:uid="{50728FC7-4DA2-4695-961F-2BDBFB946770}"/>
    <hyperlink ref="E27" r:id="rId76" xr:uid="{0384DD3C-F660-4F8C-AF8A-A4B879C3D198}"/>
    <hyperlink ref="E26" r:id="rId77" xr:uid="{B995D51A-D290-4C31-807D-5A76B4B4C26C}"/>
    <hyperlink ref="B25" r:id="rId78" xr:uid="{0C56B12D-4E43-43E1-8791-5E78721C2383}"/>
    <hyperlink ref="E25" r:id="rId79" xr:uid="{E59BF496-3D6A-460F-8360-B8B67D6F86D5}"/>
    <hyperlink ref="B24" r:id="rId80" xr:uid="{0357029A-D514-408D-92AA-1CAF7BE5531F}"/>
    <hyperlink ref="F24" r:id="rId81" display="https://www.microsave.net/author/alvina-zafar/" xr:uid="{D5A53247-1EB7-4616-9A3F-91F35EEDB0EB}"/>
    <hyperlink ref="E24" r:id="rId82" xr:uid="{B54D4AB1-980D-4555-B679-3897C94AC336}"/>
    <hyperlink ref="B23" r:id="rId83" xr:uid="{266C39E0-EB8D-4B0F-BE93-D8BE1CF77C07}"/>
    <hyperlink ref="B22" r:id="rId84" xr:uid="{0A602FA7-BA4F-48A7-B9FB-3BFE05EF2778}"/>
    <hyperlink ref="E22" r:id="rId85" xr:uid="{81B27874-1059-448D-B881-97A42808255E}"/>
    <hyperlink ref="B21" r:id="rId86" xr:uid="{15369398-BF72-4A96-814C-91FDAB53E8F6}"/>
    <hyperlink ref="E21" r:id="rId87" xr:uid="{AA89972B-FB76-4AE8-B90F-96019ACC3480}"/>
    <hyperlink ref="B20" r:id="rId88" display="https://www.microsave.net/2026/01/20/womens-collectives-driving-indias-next-phase-of-growth/" xr:uid="{14A10D13-21B1-4FE4-8F25-D2AB80174B35}"/>
    <hyperlink ref="E20" r:id="rId89" xr:uid="{4B5087EC-C914-492D-80D0-839F8848E326}"/>
    <hyperlink ref="B19" r:id="rId90" display="https://www.microsave.net/2026/01/20/the-quiet-crisis-of-care-in-a-young-and-ageing-india/" xr:uid="{D0A0902F-2F7F-4B6D-9091-7D5EF16B264D}"/>
    <hyperlink ref="E19" r:id="rId91" display="https://reimaginingthefamily.in/the-quiet-crisis-of-care-in-a-young-and-ageing-india/" xr:uid="{E5A5B212-2047-43E0-80B6-3A7C3C4D5BC7}"/>
    <hyperlink ref="B18" r:id="rId92" display="https://www.microsave.net/2026/01/27/ai-pre-summit-2026-people-planet-and-progress-shape-indonesia-india-cooperation-toward-ethical-ai-and-a-safer-digital-future/" xr:uid="{66340C07-B514-4F89-B374-273B5BBED447}"/>
    <hyperlink ref="E18" r:id="rId93" display="https://www.indianembassyjakarta.gov.in/users/assets/pdf/press/press__5631146.pdf" xr:uid="{D24C5197-36DF-4C02-8C96-67A0CE3A1196}"/>
    <hyperlink ref="B17" r:id="rId94" display="https://www.microsave.net/2026/02/02/from-infrastructure-to-intelligence-rethinking-indias-health-priorities-in-budget-2026/" xr:uid="{A97029BF-B16F-4A30-8D51-BF2D02DBD6C2}"/>
    <hyperlink ref="E17" r:id="rId95" display="https://etedge-insights.com/in-focus/budget-2026/from-infrastructure-to-intelligence-rethinking-indias-health-priorities-in-budget-2026/" xr:uid="{CE51D3AE-3084-4236-B0C1-7877DBA5B495}"/>
    <hyperlink ref="B16" r:id="rId96" display="https://www.microsave.net/2026/02/02/agriculture-in-budget-why-the-next-leap-must-be-strategic-not-incremental/" xr:uid="{24AA3E16-C463-4C1D-8240-A6370A37EE6A}"/>
    <hyperlink ref="E16" r:id="rId97" display="https://www.thehindubusinessline.com/economy/agri-business/agriculture-in-budget-why-the-next-leap-must-be-strategic-not-incremental/article70571682.ece" xr:uid="{56A9FD8B-E43A-4A51-8C89-400254A4BCCA}"/>
    <hyperlink ref="B15" r:id="rId98" display="https://www.microsave.net/2026/02/02/union-budget-2026-mscs-expert-analysis/" xr:uid="{E48D28C9-0BAB-4514-B458-96474C6CE8AC}"/>
    <hyperlink ref="B14" r:id="rId99" display="https://www.microsave.net/2026/02/04/why-ai-inclusion-matters-more-than-ai-innovation/" xr:uid="{4A6BADA9-0200-4E1D-980B-F2D7148515F7}"/>
    <hyperlink ref="E14" r:id="rId100" display="https://www.hindustantimes.com/ht-insight/future-tech/why-ai-inclusion-matters-more-than-ai-innovation-101770108944375.html" xr:uid="{7D393282-9A50-403E-B474-A4B497749BC5}"/>
    <hyperlink ref="B13" r:id="rId101" display="https://www.microsave.net/2026/02/17/from-pilots-to-impact-pre-ai-summit-pushes-scalable-ai-for-indian-agriculture/" xr:uid="{2D83AB57-38C3-42C0-9BE0-41018EAE667D}"/>
    <hyperlink ref="E13" r:id="rId102" xr:uid="{BECF0F1B-732C-4DC6-B005-E569684218CC}"/>
    <hyperlink ref="B12" r:id="rId103" display="https://www.microsave.net/2026/02/18/the-microfinance-bank-ordinance-a-blueprint-for-social-ownership-or-tokenistic-theater/" xr:uid="{74A7436F-34FE-492A-97B4-B602E3C2F5A2}"/>
    <hyperlink ref="E12" r:id="rId104" xr:uid="{FE0A6D1E-F789-4B18-A76F-6D01C38DE81D}"/>
    <hyperlink ref="B11" r:id="rId105" display="https://www.microsave.net/2026/02/19/what-to-watch-for-if-ai-is-to-strengthen-state-capacity/" xr:uid="{6AE03BE2-161C-4A8F-BF94-3D1C2DBAF605}"/>
    <hyperlink ref="E11" r:id="rId106" xr:uid="{76E818FA-3A7A-424B-9512-66273901455C}"/>
    <hyperlink ref="B10" r:id="rId107" display="https://www.microsave.net/2026/02/23/protecting-climate-vulnerable-how-microloans-and-microinsurance-can-build-systemic-disaster-resilience/" xr:uid="{D14AD05F-95B4-426E-ADBD-49774006B62B}"/>
    <hyperlink ref="B9" r:id="rId108" display="https://www.microsave.net/2026/02/26/healthcare-sector-key-announcements-and-implications-union-budget-2026-27/" xr:uid="{045536FE-5671-43CE-BD7D-1451E494FDA6}"/>
    <hyperlink ref="B8" r:id="rId109" display="https://www.microsave.net/2026/02/27/india-must-clearly-link-its-climate-goals-to-public-spending/" xr:uid="{541E52A4-5832-4A59-AB44-F8D72B50B4DA}"/>
    <hyperlink ref="E10" r:id="rId110" xr:uid="{0E983855-D2FB-4547-BC7F-09860D22683E}"/>
    <hyperlink ref="F9" r:id="rId111" display="https://www.microsave.net/author/puneet-khanduja/" xr:uid="{A20BA987-CFA9-4127-AF12-69135A312FF6}"/>
    <hyperlink ref="E9" r:id="rId112" xr:uid="{A4E56AD6-428B-453A-BEC2-804AD98ABDAF}"/>
    <hyperlink ref="E8" r:id="rId113" xr:uid="{D8B0F1BF-86E7-4C9C-A165-8A9A5A563738}"/>
    <hyperlink ref="B7" r:id="rId114" display="https://www.microsave.net/2026/03/17/smriti-irani-launches-equity-economics-forum-in-new-york-to-advance-global-south-equity-agenda/" xr:uid="{0F484107-AA24-4714-87C7-8A1D3FED1ACD}"/>
    <hyperlink ref="E7" r:id="rId115" xr:uid="{58870C10-2737-458E-823A-731B60B70077}"/>
    <hyperlink ref="B6" r:id="rId116" xr:uid="{52CD188F-442B-4AA1-B9FE-554E3315E0A4}"/>
    <hyperlink ref="E6" r:id="rId117" xr:uid="{AF18CE0A-96FB-493C-83FC-2A73D479653F}"/>
    <hyperlink ref="B5" r:id="rId118" xr:uid="{27D9A6FE-E0C1-41E5-A2DC-5AB307103245}"/>
    <hyperlink ref="B4" r:id="rId119" xr:uid="{0F885CB8-74F4-4211-B0E2-50BE03647196}"/>
    <hyperlink ref="E5" r:id="rId120" xr:uid="{8B4F6973-FF1D-47AE-A035-2ED666DA9E39}"/>
    <hyperlink ref="E4" r:id="rId121" display="https://nextbillion.net/leveraging-currency-of-trust-how-social-commerce-data-can-inform-risk-management-bring-formal-finance-to-women-led-msmes/" xr:uid="{9E93A729-9E89-4362-8FAA-8165829BE08E}"/>
    <hyperlink ref="E3" r:id="rId122" xr:uid="{2FF89045-B80A-4534-8076-9D9195A636B4}"/>
    <hyperlink ref="B3" r:id="rId123" xr:uid="{F18955DE-2297-4CDC-8A31-9756560582D2}"/>
    <hyperlink ref="E2" r:id="rId124" xr:uid="{0D8A1AF0-02A8-4126-899A-55EB4D4CBB6E}"/>
    <hyperlink ref="B2" r:id="rId125" xr:uid="{D57A67EA-109B-4912-96A2-4840D6E6F1D9}"/>
  </hyperlinks>
  <pageMargins left="0.7" right="0.7" top="0.75" bottom="0.75" header="0.3" footer="0.3"/>
  <pageSetup orientation="portrait" r:id="rId1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8"/>
  <sheetViews>
    <sheetView topLeftCell="B1" zoomScaleNormal="102" workbookViewId="0">
      <pane ySplit="1" topLeftCell="A669" activePane="bottomLeft" state="frozen"/>
      <selection pane="bottomLeft" activeCell="C690" sqref="C690"/>
    </sheetView>
  </sheetViews>
  <sheetFormatPr defaultColWidth="14.44140625" defaultRowHeight="14.4"/>
  <cols>
    <col min="1" max="1" width="9.109375" style="44" customWidth="1"/>
    <col min="2" max="2" width="133.33203125" style="21" customWidth="1"/>
    <col min="3" max="3" width="28.109375" style="76" customWidth="1"/>
    <col min="4" max="4" width="72.5546875" style="18" customWidth="1"/>
    <col min="5" max="5" width="37.88671875" style="18" hidden="1" customWidth="1"/>
    <col min="6" max="6" width="30.88671875" style="18" hidden="1" customWidth="1"/>
    <col min="7" max="7" width="0.33203125" style="18" hidden="1" customWidth="1"/>
    <col min="8" max="26" width="9.109375" style="18" customWidth="1"/>
    <col min="27" max="16384" width="14.44140625" style="18"/>
  </cols>
  <sheetData>
    <row r="1" spans="1:26" s="493" customFormat="1">
      <c r="A1" s="490" t="s">
        <v>1476</v>
      </c>
      <c r="B1" s="491" t="s">
        <v>1477</v>
      </c>
      <c r="C1" s="492" t="s">
        <v>2</v>
      </c>
      <c r="D1" s="491" t="s">
        <v>4</v>
      </c>
      <c r="E1" s="473"/>
      <c r="F1" s="490" t="s">
        <v>1478</v>
      </c>
      <c r="G1" s="474"/>
      <c r="H1" s="474"/>
      <c r="I1" s="474"/>
      <c r="J1" s="474"/>
      <c r="K1" s="474"/>
      <c r="L1" s="474"/>
      <c r="M1" s="474"/>
      <c r="N1" s="474"/>
      <c r="O1" s="474"/>
      <c r="P1" s="474"/>
      <c r="Q1" s="474"/>
      <c r="R1" s="474"/>
      <c r="S1" s="474"/>
      <c r="T1" s="474"/>
      <c r="U1" s="474"/>
      <c r="V1" s="474"/>
      <c r="W1" s="474"/>
      <c r="X1" s="474"/>
      <c r="Y1" s="474"/>
      <c r="Z1" s="474"/>
    </row>
    <row r="2" spans="1:26">
      <c r="A2" s="131">
        <v>1</v>
      </c>
      <c r="B2" s="74" t="s">
        <v>1479</v>
      </c>
      <c r="C2" s="347">
        <v>41306</v>
      </c>
      <c r="D2" s="113" t="s">
        <v>21</v>
      </c>
      <c r="E2" s="45"/>
      <c r="F2" s="46"/>
      <c r="G2" s="3"/>
      <c r="H2" s="3"/>
      <c r="I2" s="3"/>
      <c r="J2" s="3"/>
      <c r="K2" s="3"/>
      <c r="L2" s="3"/>
      <c r="M2" s="3"/>
      <c r="N2" s="3"/>
      <c r="O2" s="3"/>
      <c r="P2" s="3"/>
      <c r="Q2" s="3"/>
      <c r="R2" s="3"/>
      <c r="S2" s="3"/>
      <c r="T2" s="3"/>
      <c r="U2" s="3"/>
      <c r="V2" s="3"/>
      <c r="W2" s="3"/>
      <c r="X2" s="3"/>
      <c r="Y2" s="3"/>
      <c r="Z2" s="3"/>
    </row>
    <row r="3" spans="1:26">
      <c r="A3" s="131">
        <v>2</v>
      </c>
      <c r="B3" s="74" t="s">
        <v>1480</v>
      </c>
      <c r="C3" s="347">
        <v>41417</v>
      </c>
      <c r="D3" s="113" t="s">
        <v>21</v>
      </c>
      <c r="E3" s="45"/>
      <c r="F3" s="46"/>
      <c r="G3" s="3"/>
      <c r="H3" s="3"/>
      <c r="I3" s="3"/>
      <c r="J3" s="3"/>
      <c r="K3" s="3"/>
      <c r="L3" s="3"/>
      <c r="M3" s="3"/>
      <c r="N3" s="3"/>
      <c r="O3" s="3"/>
      <c r="P3" s="3"/>
      <c r="Q3" s="3"/>
      <c r="R3" s="3"/>
      <c r="S3" s="3"/>
      <c r="T3" s="3"/>
      <c r="U3" s="3"/>
      <c r="V3" s="3"/>
      <c r="W3" s="3"/>
      <c r="X3" s="3"/>
      <c r="Y3" s="3"/>
      <c r="Z3" s="3"/>
    </row>
    <row r="4" spans="1:26">
      <c r="A4" s="131">
        <v>3</v>
      </c>
      <c r="B4" s="74" t="s">
        <v>1481</v>
      </c>
      <c r="C4" s="347">
        <v>41417</v>
      </c>
      <c r="D4" s="113" t="s">
        <v>21</v>
      </c>
      <c r="E4" s="45"/>
      <c r="F4" s="46"/>
      <c r="G4" s="3"/>
      <c r="H4" s="3"/>
      <c r="I4" s="3"/>
      <c r="J4" s="3"/>
      <c r="K4" s="3"/>
      <c r="L4" s="3"/>
      <c r="M4" s="3"/>
      <c r="N4" s="3"/>
      <c r="O4" s="3"/>
      <c r="P4" s="3"/>
      <c r="Q4" s="3"/>
      <c r="R4" s="3"/>
      <c r="S4" s="3"/>
      <c r="T4" s="3"/>
      <c r="U4" s="3"/>
      <c r="V4" s="3"/>
      <c r="W4" s="3"/>
      <c r="X4" s="3"/>
      <c r="Y4" s="3"/>
      <c r="Z4" s="3"/>
    </row>
    <row r="5" spans="1:26">
      <c r="A5" s="131">
        <v>4</v>
      </c>
      <c r="B5" s="74" t="s">
        <v>1482</v>
      </c>
      <c r="C5" s="347">
        <v>41425</v>
      </c>
      <c r="D5" s="113" t="s">
        <v>21</v>
      </c>
      <c r="E5" s="45"/>
      <c r="F5" s="46"/>
      <c r="G5" s="3"/>
      <c r="H5" s="3"/>
      <c r="I5" s="3"/>
      <c r="J5" s="3"/>
      <c r="K5" s="3"/>
      <c r="L5" s="3"/>
      <c r="M5" s="3"/>
      <c r="N5" s="3"/>
      <c r="O5" s="3"/>
      <c r="P5" s="3"/>
      <c r="Q5" s="3"/>
      <c r="R5" s="3"/>
      <c r="S5" s="3"/>
      <c r="T5" s="3"/>
      <c r="U5" s="3"/>
      <c r="V5" s="3"/>
      <c r="W5" s="3"/>
      <c r="X5" s="3"/>
      <c r="Y5" s="3"/>
      <c r="Z5" s="3"/>
    </row>
    <row r="6" spans="1:26">
      <c r="A6" s="131">
        <v>5</v>
      </c>
      <c r="B6" s="74" t="s">
        <v>1483</v>
      </c>
      <c r="C6" s="347">
        <v>41425</v>
      </c>
      <c r="D6" s="113" t="s">
        <v>21</v>
      </c>
      <c r="E6" s="45"/>
      <c r="F6" s="46"/>
      <c r="G6" s="3"/>
      <c r="H6" s="3"/>
      <c r="I6" s="3"/>
      <c r="J6" s="3"/>
      <c r="K6" s="3"/>
      <c r="L6" s="3"/>
      <c r="M6" s="3"/>
      <c r="N6" s="3"/>
      <c r="O6" s="3"/>
      <c r="P6" s="3"/>
      <c r="Q6" s="3"/>
      <c r="R6" s="3"/>
      <c r="S6" s="3"/>
      <c r="T6" s="3"/>
      <c r="U6" s="3"/>
      <c r="V6" s="3"/>
      <c r="W6" s="3"/>
      <c r="X6" s="3"/>
      <c r="Y6" s="3"/>
      <c r="Z6" s="3"/>
    </row>
    <row r="7" spans="1:26">
      <c r="A7" s="131">
        <v>6</v>
      </c>
      <c r="B7" s="74" t="s">
        <v>1484</v>
      </c>
      <c r="C7" s="347">
        <v>41431</v>
      </c>
      <c r="D7" s="113" t="s">
        <v>1485</v>
      </c>
      <c r="E7" s="45"/>
      <c r="F7" s="46"/>
      <c r="G7" s="3"/>
      <c r="H7" s="3"/>
      <c r="I7" s="3"/>
      <c r="J7" s="3"/>
      <c r="K7" s="3"/>
      <c r="L7" s="3"/>
      <c r="M7" s="3"/>
      <c r="N7" s="3"/>
      <c r="O7" s="3"/>
      <c r="P7" s="3"/>
      <c r="Q7" s="3"/>
      <c r="R7" s="3"/>
      <c r="S7" s="3"/>
      <c r="T7" s="3"/>
      <c r="U7" s="3"/>
      <c r="V7" s="3"/>
      <c r="W7" s="3"/>
      <c r="X7" s="3"/>
      <c r="Y7" s="3"/>
      <c r="Z7" s="3"/>
    </row>
    <row r="8" spans="1:26">
      <c r="A8" s="131">
        <v>7</v>
      </c>
      <c r="B8" s="74" t="s">
        <v>1486</v>
      </c>
      <c r="C8" s="347">
        <v>41437</v>
      </c>
      <c r="D8" s="113" t="s">
        <v>1487</v>
      </c>
      <c r="E8" s="45"/>
      <c r="F8" s="46"/>
      <c r="G8" s="3"/>
      <c r="H8" s="3"/>
      <c r="I8" s="3"/>
      <c r="J8" s="3"/>
      <c r="K8" s="3"/>
      <c r="L8" s="3"/>
      <c r="M8" s="3"/>
      <c r="N8" s="3"/>
      <c r="O8" s="3"/>
      <c r="P8" s="3"/>
      <c r="Q8" s="3"/>
      <c r="R8" s="3"/>
      <c r="S8" s="3"/>
      <c r="T8" s="3"/>
      <c r="U8" s="3"/>
      <c r="V8" s="3"/>
      <c r="W8" s="3"/>
      <c r="X8" s="3"/>
      <c r="Y8" s="3"/>
      <c r="Z8" s="3"/>
    </row>
    <row r="9" spans="1:26">
      <c r="A9" s="131">
        <v>8</v>
      </c>
      <c r="B9" s="74" t="s">
        <v>1488</v>
      </c>
      <c r="C9" s="347">
        <v>41438</v>
      </c>
      <c r="D9" s="113" t="s">
        <v>1489</v>
      </c>
      <c r="E9" s="45"/>
      <c r="F9" s="46"/>
      <c r="G9" s="3"/>
      <c r="H9" s="3"/>
      <c r="I9" s="3"/>
      <c r="J9" s="3"/>
      <c r="K9" s="3"/>
      <c r="L9" s="3"/>
      <c r="M9" s="3"/>
      <c r="N9" s="3"/>
      <c r="O9" s="3"/>
      <c r="P9" s="3"/>
      <c r="Q9" s="3"/>
      <c r="R9" s="3"/>
      <c r="S9" s="3"/>
      <c r="T9" s="3"/>
      <c r="U9" s="3"/>
      <c r="V9" s="3"/>
      <c r="W9" s="3"/>
      <c r="X9" s="3"/>
      <c r="Y9" s="3"/>
      <c r="Z9" s="3"/>
    </row>
    <row r="10" spans="1:26">
      <c r="A10" s="131">
        <v>9</v>
      </c>
      <c r="B10" s="74" t="s">
        <v>1490</v>
      </c>
      <c r="C10" s="347">
        <v>41444</v>
      </c>
      <c r="D10" s="113" t="s">
        <v>1491</v>
      </c>
      <c r="E10" s="45"/>
      <c r="F10" s="46"/>
      <c r="G10" s="3"/>
      <c r="H10" s="3"/>
      <c r="I10" s="3"/>
      <c r="J10" s="3"/>
      <c r="K10" s="3"/>
      <c r="L10" s="3"/>
      <c r="M10" s="3"/>
      <c r="N10" s="3"/>
      <c r="O10" s="3"/>
      <c r="P10" s="3"/>
      <c r="Q10" s="3"/>
      <c r="R10" s="3"/>
      <c r="S10" s="3"/>
      <c r="T10" s="3"/>
      <c r="U10" s="3"/>
      <c r="V10" s="3"/>
      <c r="W10" s="3"/>
      <c r="X10" s="3"/>
      <c r="Y10" s="3"/>
      <c r="Z10" s="3"/>
    </row>
    <row r="11" spans="1:26">
      <c r="A11" s="131">
        <v>10</v>
      </c>
      <c r="B11" s="74" t="s">
        <v>1492</v>
      </c>
      <c r="C11" s="347">
        <v>41446</v>
      </c>
      <c r="D11" s="113" t="s">
        <v>1766</v>
      </c>
      <c r="E11" s="45"/>
      <c r="F11" s="46"/>
      <c r="G11" s="3"/>
      <c r="H11" s="3"/>
      <c r="I11" s="3"/>
      <c r="J11" s="3"/>
      <c r="K11" s="3"/>
      <c r="L11" s="3"/>
      <c r="M11" s="3"/>
      <c r="N11" s="3"/>
      <c r="O11" s="3"/>
      <c r="P11" s="3"/>
      <c r="Q11" s="3"/>
      <c r="R11" s="3"/>
      <c r="S11" s="3"/>
      <c r="T11" s="3"/>
      <c r="U11" s="3"/>
      <c r="V11" s="3"/>
      <c r="W11" s="3"/>
      <c r="X11" s="3"/>
      <c r="Y11" s="3"/>
      <c r="Z11" s="3"/>
    </row>
    <row r="12" spans="1:26">
      <c r="A12" s="131">
        <v>11</v>
      </c>
      <c r="B12" s="74" t="s">
        <v>1494</v>
      </c>
      <c r="C12" s="347">
        <v>41450</v>
      </c>
      <c r="D12" s="113" t="s">
        <v>21</v>
      </c>
      <c r="E12" s="45"/>
      <c r="F12" s="46"/>
      <c r="G12" s="3"/>
      <c r="H12" s="3"/>
      <c r="I12" s="3"/>
      <c r="J12" s="3"/>
      <c r="K12" s="3"/>
      <c r="L12" s="3"/>
      <c r="M12" s="3"/>
      <c r="N12" s="3"/>
      <c r="O12" s="3"/>
      <c r="P12" s="3"/>
      <c r="Q12" s="3"/>
      <c r="R12" s="3"/>
      <c r="S12" s="3"/>
      <c r="T12" s="3"/>
      <c r="U12" s="3"/>
      <c r="V12" s="3"/>
      <c r="W12" s="3"/>
      <c r="X12" s="3"/>
      <c r="Y12" s="3"/>
      <c r="Z12" s="3"/>
    </row>
    <row r="13" spans="1:26" ht="19.2" customHeight="1">
      <c r="A13" s="131">
        <v>12</v>
      </c>
      <c r="B13" s="74" t="s">
        <v>1467</v>
      </c>
      <c r="C13" s="347">
        <v>41457</v>
      </c>
      <c r="D13" s="113" t="s">
        <v>1495</v>
      </c>
      <c r="E13" s="45"/>
      <c r="F13" s="126" t="s">
        <v>1496</v>
      </c>
      <c r="G13" s="3"/>
      <c r="H13" s="3"/>
      <c r="I13" s="3"/>
      <c r="J13" s="3"/>
      <c r="K13" s="3"/>
      <c r="L13" s="3"/>
      <c r="M13" s="3"/>
      <c r="N13" s="3"/>
      <c r="O13" s="3"/>
      <c r="P13" s="3"/>
      <c r="Q13" s="3"/>
      <c r="R13" s="3"/>
      <c r="S13" s="3"/>
      <c r="T13" s="3"/>
      <c r="U13" s="3"/>
      <c r="V13" s="3"/>
      <c r="W13" s="3"/>
      <c r="X13" s="3"/>
      <c r="Y13" s="3"/>
      <c r="Z13" s="3"/>
    </row>
    <row r="14" spans="1:26">
      <c r="A14" s="131">
        <v>13</v>
      </c>
      <c r="B14" s="74" t="s">
        <v>1497</v>
      </c>
      <c r="C14" s="347">
        <v>41464</v>
      </c>
      <c r="D14" s="113" t="s">
        <v>1498</v>
      </c>
      <c r="E14" s="45"/>
      <c r="F14" s="46"/>
      <c r="G14" s="3"/>
      <c r="H14" s="3"/>
      <c r="I14" s="3"/>
      <c r="J14" s="3"/>
      <c r="K14" s="3"/>
      <c r="L14" s="3"/>
      <c r="M14" s="3"/>
      <c r="N14" s="3"/>
      <c r="O14" s="3"/>
      <c r="P14" s="3"/>
      <c r="Q14" s="3"/>
      <c r="R14" s="3"/>
      <c r="S14" s="3"/>
      <c r="T14" s="3"/>
      <c r="U14" s="3"/>
      <c r="V14" s="3"/>
      <c r="W14" s="3"/>
      <c r="X14" s="3"/>
      <c r="Y14" s="3"/>
      <c r="Z14" s="3"/>
    </row>
    <row r="15" spans="1:26">
      <c r="A15" s="131">
        <v>14</v>
      </c>
      <c r="B15" s="2" t="s">
        <v>1499</v>
      </c>
      <c r="C15" s="347">
        <v>41466</v>
      </c>
      <c r="D15" s="113" t="s">
        <v>1498</v>
      </c>
      <c r="E15" s="45"/>
      <c r="F15" s="46"/>
      <c r="G15" s="3"/>
      <c r="H15" s="3"/>
      <c r="I15" s="3"/>
      <c r="J15" s="3"/>
      <c r="K15" s="3"/>
      <c r="L15" s="3"/>
      <c r="M15" s="3"/>
      <c r="N15" s="3"/>
      <c r="O15" s="3"/>
      <c r="P15" s="3"/>
      <c r="Q15" s="3"/>
      <c r="R15" s="3"/>
      <c r="S15" s="3"/>
      <c r="T15" s="3"/>
      <c r="U15" s="3"/>
      <c r="V15" s="3"/>
      <c r="W15" s="3"/>
      <c r="X15" s="3"/>
      <c r="Y15" s="3"/>
      <c r="Z15" s="3"/>
    </row>
    <row r="16" spans="1:26">
      <c r="A16" s="131">
        <v>15</v>
      </c>
      <c r="B16" s="74" t="s">
        <v>1500</v>
      </c>
      <c r="C16" s="347">
        <v>41471</v>
      </c>
      <c r="D16" s="113" t="s">
        <v>1501</v>
      </c>
      <c r="E16" s="45"/>
      <c r="F16" s="46"/>
      <c r="G16" s="3"/>
      <c r="H16" s="3"/>
      <c r="I16" s="3"/>
      <c r="J16" s="3"/>
      <c r="K16" s="3"/>
      <c r="L16" s="3"/>
      <c r="M16" s="3"/>
      <c r="N16" s="3"/>
      <c r="O16" s="3"/>
      <c r="P16" s="3"/>
      <c r="Q16" s="3"/>
      <c r="R16" s="3"/>
      <c r="S16" s="3"/>
      <c r="T16" s="3"/>
      <c r="U16" s="3"/>
      <c r="V16" s="3"/>
      <c r="W16" s="3"/>
      <c r="X16" s="3"/>
      <c r="Y16" s="3"/>
      <c r="Z16" s="3"/>
    </row>
    <row r="17" spans="1:26">
      <c r="A17" s="131">
        <v>16</v>
      </c>
      <c r="B17" s="74" t="s">
        <v>1502</v>
      </c>
      <c r="C17" s="347">
        <v>41478</v>
      </c>
      <c r="D17" s="113" t="s">
        <v>7</v>
      </c>
      <c r="E17" s="45"/>
      <c r="F17" s="46"/>
      <c r="G17" s="3"/>
      <c r="H17" s="3"/>
      <c r="I17" s="3"/>
      <c r="J17" s="3"/>
      <c r="K17" s="3"/>
      <c r="L17" s="3"/>
      <c r="M17" s="3"/>
      <c r="N17" s="3"/>
      <c r="O17" s="3"/>
      <c r="P17" s="3"/>
      <c r="Q17" s="3"/>
      <c r="R17" s="3"/>
      <c r="S17" s="3"/>
      <c r="T17" s="3"/>
      <c r="U17" s="3"/>
      <c r="V17" s="3"/>
      <c r="W17" s="3"/>
      <c r="X17" s="3"/>
      <c r="Y17" s="3"/>
      <c r="Z17" s="3"/>
    </row>
    <row r="18" spans="1:26">
      <c r="A18" s="131">
        <v>17</v>
      </c>
      <c r="B18" s="74" t="s">
        <v>1503</v>
      </c>
      <c r="C18" s="347">
        <v>41487</v>
      </c>
      <c r="D18" s="113" t="s">
        <v>7</v>
      </c>
      <c r="E18" s="45"/>
      <c r="F18" s="46"/>
      <c r="G18" s="3"/>
      <c r="H18" s="3"/>
      <c r="I18" s="3"/>
      <c r="J18" s="3"/>
      <c r="K18" s="3"/>
      <c r="L18" s="3"/>
      <c r="M18" s="3"/>
      <c r="N18" s="3"/>
      <c r="O18" s="3"/>
      <c r="P18" s="3"/>
      <c r="Q18" s="3"/>
      <c r="R18" s="3"/>
      <c r="S18" s="3"/>
      <c r="T18" s="3"/>
      <c r="U18" s="3"/>
      <c r="V18" s="3"/>
      <c r="W18" s="3"/>
      <c r="X18" s="3"/>
      <c r="Y18" s="3"/>
      <c r="Z18" s="3"/>
    </row>
    <row r="19" spans="1:26">
      <c r="A19" s="131">
        <v>18</v>
      </c>
      <c r="B19" s="74" t="s">
        <v>1504</v>
      </c>
      <c r="C19" s="347">
        <v>41492</v>
      </c>
      <c r="D19" s="113" t="s">
        <v>432</v>
      </c>
      <c r="E19" s="45"/>
      <c r="F19" s="46"/>
      <c r="G19" s="3"/>
      <c r="H19" s="3"/>
      <c r="I19" s="3"/>
      <c r="J19" s="3"/>
      <c r="K19" s="3"/>
      <c r="L19" s="3"/>
      <c r="M19" s="3"/>
      <c r="N19" s="3"/>
      <c r="O19" s="3"/>
      <c r="P19" s="3"/>
      <c r="Q19" s="3"/>
      <c r="R19" s="3"/>
      <c r="S19" s="3"/>
      <c r="T19" s="3"/>
      <c r="U19" s="3"/>
      <c r="V19" s="3"/>
      <c r="W19" s="3"/>
      <c r="X19" s="3"/>
      <c r="Y19" s="3"/>
      <c r="Z19" s="3"/>
    </row>
    <row r="20" spans="1:26">
      <c r="A20" s="131">
        <v>19</v>
      </c>
      <c r="B20" s="74" t="s">
        <v>1505</v>
      </c>
      <c r="C20" s="347">
        <v>41500</v>
      </c>
      <c r="D20" s="113" t="s">
        <v>7</v>
      </c>
      <c r="E20" s="45"/>
      <c r="F20" s="46"/>
      <c r="G20" s="3"/>
      <c r="H20" s="3"/>
      <c r="I20" s="3"/>
      <c r="J20" s="3"/>
      <c r="K20" s="3"/>
      <c r="L20" s="3"/>
      <c r="M20" s="3"/>
      <c r="N20" s="3"/>
      <c r="O20" s="3"/>
      <c r="P20" s="3"/>
      <c r="Q20" s="3"/>
      <c r="R20" s="3"/>
      <c r="S20" s="3"/>
      <c r="T20" s="3"/>
      <c r="U20" s="3"/>
      <c r="V20" s="3"/>
      <c r="W20" s="3"/>
      <c r="X20" s="3"/>
      <c r="Y20" s="3"/>
      <c r="Z20" s="3"/>
    </row>
    <row r="21" spans="1:26">
      <c r="A21" s="131">
        <v>20</v>
      </c>
      <c r="B21" s="74" t="s">
        <v>1506</v>
      </c>
      <c r="C21" s="347">
        <v>41506</v>
      </c>
      <c r="D21" s="113" t="s">
        <v>1498</v>
      </c>
      <c r="E21" s="45"/>
      <c r="F21" s="46"/>
      <c r="G21" s="3"/>
      <c r="H21" s="3"/>
      <c r="I21" s="3"/>
      <c r="J21" s="3"/>
      <c r="K21" s="3"/>
      <c r="L21" s="3"/>
      <c r="M21" s="3"/>
      <c r="N21" s="3"/>
      <c r="O21" s="3"/>
      <c r="P21" s="3"/>
      <c r="Q21" s="3"/>
      <c r="R21" s="3"/>
      <c r="S21" s="3"/>
      <c r="T21" s="3"/>
      <c r="U21" s="3"/>
      <c r="V21" s="3"/>
      <c r="W21" s="3"/>
      <c r="X21" s="3"/>
      <c r="Y21" s="3"/>
      <c r="Z21" s="3"/>
    </row>
    <row r="22" spans="1:26">
      <c r="A22" s="131">
        <v>21</v>
      </c>
      <c r="B22" s="74" t="s">
        <v>1507</v>
      </c>
      <c r="C22" s="347">
        <v>41508</v>
      </c>
      <c r="D22" s="113" t="s">
        <v>1493</v>
      </c>
      <c r="E22" s="45"/>
      <c r="F22" s="46"/>
      <c r="G22" s="3"/>
      <c r="H22" s="3"/>
      <c r="I22" s="3"/>
      <c r="J22" s="3"/>
      <c r="K22" s="3"/>
      <c r="L22" s="3"/>
      <c r="M22" s="3"/>
      <c r="N22" s="3"/>
      <c r="O22" s="3"/>
      <c r="P22" s="3"/>
      <c r="Q22" s="3"/>
      <c r="R22" s="3"/>
      <c r="S22" s="3"/>
      <c r="T22" s="3"/>
      <c r="U22" s="3"/>
      <c r="V22" s="3"/>
      <c r="W22" s="3"/>
      <c r="X22" s="3"/>
      <c r="Y22" s="3"/>
      <c r="Z22" s="3"/>
    </row>
    <row r="23" spans="1:26">
      <c r="A23" s="131">
        <v>22</v>
      </c>
      <c r="B23" s="74" t="s">
        <v>1508</v>
      </c>
      <c r="C23" s="347">
        <v>41514</v>
      </c>
      <c r="D23" s="113" t="s">
        <v>1509</v>
      </c>
      <c r="E23" s="45"/>
      <c r="F23" s="46"/>
      <c r="G23" s="3"/>
      <c r="H23" s="3"/>
      <c r="I23" s="3"/>
      <c r="J23" s="3"/>
      <c r="K23" s="3"/>
      <c r="L23" s="3"/>
      <c r="M23" s="3"/>
      <c r="N23" s="3"/>
      <c r="O23" s="3"/>
      <c r="P23" s="3"/>
      <c r="Q23" s="3"/>
      <c r="R23" s="3"/>
      <c r="S23" s="3"/>
      <c r="T23" s="3"/>
      <c r="U23" s="3"/>
      <c r="V23" s="3"/>
      <c r="W23" s="3"/>
      <c r="X23" s="3"/>
      <c r="Y23" s="3"/>
      <c r="Z23" s="3"/>
    </row>
    <row r="24" spans="1:26">
      <c r="A24" s="131">
        <v>23</v>
      </c>
      <c r="B24" s="74" t="s">
        <v>1510</v>
      </c>
      <c r="C24" s="347">
        <v>41519</v>
      </c>
      <c r="D24" s="113" t="s">
        <v>1511</v>
      </c>
      <c r="E24" s="45"/>
      <c r="F24" s="46"/>
      <c r="G24" s="3"/>
      <c r="H24" s="3"/>
      <c r="I24" s="3"/>
      <c r="J24" s="3"/>
      <c r="K24" s="3"/>
      <c r="L24" s="3"/>
      <c r="M24" s="3"/>
      <c r="N24" s="3"/>
      <c r="O24" s="3"/>
      <c r="P24" s="3"/>
      <c r="Q24" s="3"/>
      <c r="R24" s="3"/>
      <c r="S24" s="3"/>
      <c r="T24" s="3"/>
      <c r="U24" s="3"/>
      <c r="V24" s="3"/>
      <c r="W24" s="3"/>
      <c r="X24" s="3"/>
      <c r="Y24" s="3"/>
      <c r="Z24" s="3"/>
    </row>
    <row r="25" spans="1:26" ht="13.2" customHeight="1">
      <c r="A25" s="131">
        <v>24</v>
      </c>
      <c r="B25" s="74" t="s">
        <v>1474</v>
      </c>
      <c r="C25" s="164">
        <v>41527</v>
      </c>
      <c r="D25" s="113" t="s">
        <v>1495</v>
      </c>
      <c r="E25" s="45"/>
      <c r="F25" s="126" t="s">
        <v>1512</v>
      </c>
      <c r="G25" s="3"/>
      <c r="H25" s="3"/>
      <c r="I25" s="3"/>
      <c r="J25" s="3"/>
      <c r="K25" s="3"/>
      <c r="L25" s="3"/>
      <c r="M25" s="3"/>
      <c r="N25" s="3"/>
      <c r="O25" s="3"/>
      <c r="P25" s="3"/>
      <c r="Q25" s="3"/>
      <c r="R25" s="3"/>
      <c r="S25" s="3"/>
      <c r="T25" s="3"/>
      <c r="U25" s="3"/>
      <c r="V25" s="3"/>
      <c r="W25" s="3"/>
      <c r="X25" s="3"/>
      <c r="Y25" s="3"/>
      <c r="Z25" s="3"/>
    </row>
    <row r="26" spans="1:26" ht="15" customHeight="1">
      <c r="A26" s="131">
        <v>25</v>
      </c>
      <c r="B26" s="74" t="s">
        <v>1513</v>
      </c>
      <c r="C26" s="164">
        <v>41528</v>
      </c>
      <c r="D26" s="113" t="s">
        <v>1514</v>
      </c>
      <c r="E26" s="45"/>
      <c r="F26" s="46"/>
      <c r="G26" s="3"/>
      <c r="H26" s="3"/>
      <c r="I26" s="3"/>
      <c r="J26" s="3"/>
      <c r="K26" s="3"/>
      <c r="L26" s="3"/>
      <c r="M26" s="3"/>
      <c r="N26" s="3"/>
      <c r="O26" s="3"/>
      <c r="P26" s="3"/>
      <c r="Q26" s="3"/>
      <c r="R26" s="3"/>
      <c r="S26" s="3"/>
      <c r="T26" s="3"/>
      <c r="U26" s="3"/>
      <c r="V26" s="3"/>
      <c r="W26" s="3"/>
      <c r="X26" s="3"/>
      <c r="Y26" s="3"/>
      <c r="Z26" s="3"/>
    </row>
    <row r="27" spans="1:26">
      <c r="A27" s="131">
        <v>26</v>
      </c>
      <c r="B27" s="74" t="s">
        <v>1515</v>
      </c>
      <c r="C27" s="347">
        <v>41535</v>
      </c>
      <c r="D27" s="113" t="s">
        <v>1516</v>
      </c>
      <c r="E27" s="45"/>
      <c r="F27" s="46"/>
      <c r="G27" s="3"/>
      <c r="H27" s="3"/>
      <c r="I27" s="3"/>
      <c r="J27" s="3"/>
      <c r="K27" s="3"/>
      <c r="L27" s="3"/>
      <c r="M27" s="3"/>
      <c r="N27" s="3"/>
      <c r="O27" s="3"/>
      <c r="P27" s="3"/>
      <c r="Q27" s="3"/>
      <c r="R27" s="3"/>
      <c r="S27" s="3"/>
      <c r="T27" s="3"/>
      <c r="U27" s="3"/>
      <c r="V27" s="3"/>
      <c r="W27" s="3"/>
      <c r="X27" s="3"/>
      <c r="Y27" s="3"/>
      <c r="Z27" s="3"/>
    </row>
    <row r="28" spans="1:26" ht="13.8" customHeight="1">
      <c r="A28" s="131">
        <v>27</v>
      </c>
      <c r="B28" s="74" t="s">
        <v>1473</v>
      </c>
      <c r="C28" s="164">
        <v>41541</v>
      </c>
      <c r="D28" s="113" t="s">
        <v>1495</v>
      </c>
      <c r="E28" s="45"/>
      <c r="F28" s="46" t="s">
        <v>1517</v>
      </c>
      <c r="G28" s="3"/>
      <c r="H28" s="3"/>
      <c r="I28" s="3"/>
      <c r="J28" s="3"/>
      <c r="K28" s="3"/>
      <c r="L28" s="3"/>
      <c r="M28" s="3"/>
      <c r="N28" s="3"/>
      <c r="O28" s="3"/>
      <c r="P28" s="3"/>
      <c r="Q28" s="3"/>
      <c r="R28" s="3"/>
      <c r="S28" s="3"/>
      <c r="T28" s="3"/>
      <c r="U28" s="3"/>
      <c r="V28" s="3"/>
      <c r="W28" s="3"/>
      <c r="X28" s="3"/>
      <c r="Y28" s="3"/>
      <c r="Z28" s="3"/>
    </row>
    <row r="29" spans="1:26">
      <c r="A29" s="131">
        <v>28</v>
      </c>
      <c r="B29" s="74" t="s">
        <v>1518</v>
      </c>
      <c r="C29" s="347">
        <v>41548</v>
      </c>
      <c r="D29" s="113" t="s">
        <v>1519</v>
      </c>
      <c r="E29" s="45"/>
      <c r="F29" s="46"/>
      <c r="G29" s="3"/>
      <c r="H29" s="3"/>
      <c r="I29" s="3"/>
      <c r="J29" s="3"/>
      <c r="K29" s="3"/>
      <c r="L29" s="3"/>
      <c r="M29" s="3"/>
      <c r="N29" s="3"/>
      <c r="O29" s="3"/>
      <c r="P29" s="3"/>
      <c r="Q29" s="3"/>
      <c r="R29" s="3"/>
      <c r="S29" s="3"/>
      <c r="T29" s="3"/>
      <c r="U29" s="3"/>
      <c r="V29" s="3"/>
      <c r="W29" s="3"/>
      <c r="X29" s="3"/>
      <c r="Y29" s="3"/>
      <c r="Z29" s="3"/>
    </row>
    <row r="30" spans="1:26">
      <c r="A30" s="131">
        <v>29</v>
      </c>
      <c r="B30" s="74" t="s">
        <v>1520</v>
      </c>
      <c r="C30" s="347">
        <v>41555</v>
      </c>
      <c r="D30" s="113" t="s">
        <v>1521</v>
      </c>
      <c r="E30" s="45"/>
      <c r="F30" s="46"/>
      <c r="G30" s="3"/>
      <c r="H30" s="3"/>
      <c r="I30" s="3"/>
      <c r="J30" s="3"/>
      <c r="K30" s="3"/>
      <c r="L30" s="3"/>
      <c r="M30" s="3"/>
      <c r="N30" s="3"/>
      <c r="O30" s="3"/>
      <c r="P30" s="3"/>
      <c r="Q30" s="3"/>
      <c r="R30" s="3"/>
      <c r="S30" s="3"/>
      <c r="T30" s="3"/>
      <c r="U30" s="3"/>
      <c r="V30" s="3"/>
      <c r="W30" s="3"/>
      <c r="X30" s="3"/>
      <c r="Y30" s="3"/>
      <c r="Z30" s="3"/>
    </row>
    <row r="31" spans="1:26">
      <c r="A31" s="131">
        <v>30</v>
      </c>
      <c r="B31" s="74" t="s">
        <v>1522</v>
      </c>
      <c r="C31" s="347">
        <v>41426</v>
      </c>
      <c r="D31" s="113" t="s">
        <v>7</v>
      </c>
      <c r="E31" s="45"/>
      <c r="F31" s="46"/>
      <c r="G31" s="3"/>
      <c r="H31" s="3"/>
      <c r="I31" s="3"/>
      <c r="J31" s="3"/>
      <c r="K31" s="3"/>
      <c r="L31" s="3"/>
      <c r="M31" s="3"/>
      <c r="N31" s="3"/>
      <c r="O31" s="3"/>
      <c r="P31" s="3"/>
      <c r="Q31" s="3"/>
      <c r="R31" s="3"/>
      <c r="S31" s="3"/>
      <c r="T31" s="3"/>
      <c r="U31" s="3"/>
      <c r="V31" s="3"/>
      <c r="W31" s="3"/>
      <c r="X31" s="3"/>
      <c r="Y31" s="3"/>
      <c r="Z31" s="3"/>
    </row>
    <row r="32" spans="1:26">
      <c r="A32" s="131">
        <v>31</v>
      </c>
      <c r="B32" s="74" t="s">
        <v>1523</v>
      </c>
      <c r="C32" s="347">
        <v>41591</v>
      </c>
      <c r="D32" s="113" t="s">
        <v>432</v>
      </c>
      <c r="E32" s="45"/>
      <c r="F32" s="46"/>
      <c r="G32" s="3"/>
      <c r="H32" s="3"/>
      <c r="I32" s="3"/>
      <c r="J32" s="3"/>
      <c r="K32" s="3"/>
      <c r="L32" s="3"/>
      <c r="M32" s="3"/>
      <c r="N32" s="3"/>
      <c r="O32" s="3"/>
      <c r="P32" s="3"/>
      <c r="Q32" s="3"/>
      <c r="R32" s="3"/>
      <c r="S32" s="3"/>
      <c r="T32" s="3"/>
      <c r="U32" s="3"/>
      <c r="V32" s="3"/>
      <c r="W32" s="3"/>
      <c r="X32" s="3"/>
      <c r="Y32" s="3"/>
      <c r="Z32" s="3"/>
    </row>
    <row r="33" spans="1:26">
      <c r="A33" s="131">
        <v>32</v>
      </c>
      <c r="B33" s="74" t="s">
        <v>1524</v>
      </c>
      <c r="C33" s="347">
        <v>41597</v>
      </c>
      <c r="D33" s="113" t="s">
        <v>1525</v>
      </c>
      <c r="E33" s="45"/>
      <c r="F33" s="46"/>
      <c r="G33" s="3"/>
      <c r="H33" s="3"/>
      <c r="I33" s="3"/>
      <c r="J33" s="3"/>
      <c r="K33" s="3"/>
      <c r="L33" s="3"/>
      <c r="M33" s="3"/>
      <c r="N33" s="3"/>
      <c r="O33" s="3"/>
      <c r="P33" s="3"/>
      <c r="Q33" s="3"/>
      <c r="R33" s="3"/>
      <c r="S33" s="3"/>
      <c r="T33" s="3"/>
      <c r="U33" s="3"/>
      <c r="V33" s="3"/>
      <c r="W33" s="3"/>
      <c r="X33" s="3"/>
      <c r="Y33" s="3"/>
      <c r="Z33" s="3"/>
    </row>
    <row r="34" spans="1:26">
      <c r="A34" s="131">
        <v>33</v>
      </c>
      <c r="B34" s="2" t="s">
        <v>1526</v>
      </c>
      <c r="C34" s="347">
        <v>41606</v>
      </c>
      <c r="D34" s="113" t="s">
        <v>1527</v>
      </c>
      <c r="E34" s="45"/>
      <c r="F34" s="127"/>
      <c r="G34" s="3"/>
      <c r="H34" s="3"/>
      <c r="I34" s="3"/>
      <c r="J34" s="3"/>
      <c r="K34" s="3"/>
      <c r="L34" s="3"/>
      <c r="M34" s="3"/>
      <c r="N34" s="3"/>
      <c r="O34" s="3"/>
      <c r="P34" s="3"/>
      <c r="Q34" s="3"/>
      <c r="R34" s="3"/>
      <c r="S34" s="3"/>
      <c r="T34" s="3"/>
      <c r="U34" s="3"/>
      <c r="V34" s="3"/>
      <c r="W34" s="3"/>
      <c r="X34" s="3"/>
      <c r="Y34" s="3"/>
      <c r="Z34" s="3"/>
    </row>
    <row r="35" spans="1:26">
      <c r="A35" s="131">
        <v>34</v>
      </c>
      <c r="B35" s="74" t="s">
        <v>1528</v>
      </c>
      <c r="C35" s="347">
        <v>41611</v>
      </c>
      <c r="D35" s="113" t="s">
        <v>1529</v>
      </c>
      <c r="E35" s="45"/>
      <c r="F35" s="127"/>
      <c r="G35" s="3"/>
      <c r="H35" s="3"/>
      <c r="I35" s="3"/>
      <c r="J35" s="3"/>
      <c r="K35" s="3"/>
      <c r="L35" s="3"/>
      <c r="M35" s="3"/>
      <c r="N35" s="3"/>
      <c r="O35" s="3"/>
      <c r="P35" s="3"/>
      <c r="Q35" s="3"/>
      <c r="R35" s="3"/>
      <c r="S35" s="3"/>
      <c r="T35" s="3"/>
      <c r="U35" s="3"/>
      <c r="V35" s="3"/>
      <c r="W35" s="3"/>
      <c r="X35" s="3"/>
      <c r="Y35" s="3"/>
      <c r="Z35" s="3"/>
    </row>
    <row r="36" spans="1:26">
      <c r="A36" s="131">
        <v>35</v>
      </c>
      <c r="B36" s="74" t="s">
        <v>1530</v>
      </c>
      <c r="C36" s="347">
        <v>41612</v>
      </c>
      <c r="D36" s="113" t="s">
        <v>1527</v>
      </c>
      <c r="E36" s="45"/>
      <c r="F36" s="126"/>
      <c r="G36" s="3"/>
      <c r="H36" s="3"/>
      <c r="I36" s="3"/>
      <c r="J36" s="3"/>
      <c r="K36" s="3"/>
      <c r="L36" s="3"/>
      <c r="M36" s="3"/>
      <c r="N36" s="3"/>
      <c r="O36" s="3"/>
      <c r="P36" s="3"/>
      <c r="Q36" s="3"/>
      <c r="R36" s="3"/>
      <c r="S36" s="3"/>
      <c r="T36" s="3"/>
      <c r="U36" s="3"/>
      <c r="V36" s="3"/>
      <c r="W36" s="3"/>
      <c r="X36" s="3"/>
      <c r="Y36" s="3"/>
      <c r="Z36" s="3"/>
    </row>
    <row r="37" spans="1:26">
      <c r="A37" s="131">
        <v>36</v>
      </c>
      <c r="B37" s="74" t="s">
        <v>1531</v>
      </c>
      <c r="C37" s="347">
        <v>41631</v>
      </c>
      <c r="D37" s="113" t="s">
        <v>1532</v>
      </c>
      <c r="E37" s="45"/>
      <c r="F37" s="46"/>
      <c r="G37" s="3"/>
      <c r="H37" s="3"/>
      <c r="I37" s="3"/>
      <c r="J37" s="3"/>
      <c r="K37" s="3"/>
      <c r="L37" s="3"/>
      <c r="M37" s="3"/>
      <c r="N37" s="3"/>
      <c r="O37" s="3"/>
      <c r="P37" s="3"/>
      <c r="Q37" s="3"/>
      <c r="R37" s="3"/>
      <c r="S37" s="3"/>
      <c r="T37" s="3"/>
      <c r="U37" s="3"/>
      <c r="V37" s="3"/>
      <c r="W37" s="3"/>
      <c r="X37" s="3"/>
      <c r="Y37" s="3"/>
      <c r="Z37" s="3"/>
    </row>
    <row r="38" spans="1:26">
      <c r="A38" s="131">
        <v>37</v>
      </c>
      <c r="B38" s="74" t="s">
        <v>1533</v>
      </c>
      <c r="C38" s="347">
        <v>41646</v>
      </c>
      <c r="D38" s="113" t="s">
        <v>1495</v>
      </c>
      <c r="E38" s="45"/>
      <c r="F38" s="126"/>
      <c r="G38" s="3"/>
      <c r="H38" s="3"/>
      <c r="I38" s="3"/>
      <c r="J38" s="3"/>
      <c r="K38" s="3"/>
      <c r="L38" s="3"/>
      <c r="M38" s="3"/>
      <c r="N38" s="3"/>
      <c r="O38" s="3"/>
      <c r="P38" s="3"/>
      <c r="Q38" s="3"/>
      <c r="R38" s="3"/>
      <c r="S38" s="3"/>
      <c r="T38" s="3"/>
      <c r="U38" s="3"/>
      <c r="V38" s="3"/>
      <c r="W38" s="3"/>
      <c r="X38" s="3"/>
      <c r="Y38" s="3"/>
      <c r="Z38" s="3"/>
    </row>
    <row r="39" spans="1:26">
      <c r="A39" s="131">
        <v>38</v>
      </c>
      <c r="B39" s="74" t="s">
        <v>1534</v>
      </c>
      <c r="C39" s="347">
        <v>41653</v>
      </c>
      <c r="D39" s="113" t="s">
        <v>1498</v>
      </c>
      <c r="E39" s="45"/>
      <c r="F39" s="126"/>
      <c r="G39" s="3"/>
      <c r="H39" s="3"/>
      <c r="I39" s="3"/>
      <c r="J39" s="3"/>
      <c r="K39" s="3"/>
      <c r="L39" s="3"/>
      <c r="M39" s="3"/>
      <c r="N39" s="3"/>
      <c r="O39" s="3"/>
      <c r="P39" s="3"/>
      <c r="Q39" s="3"/>
      <c r="R39" s="3"/>
      <c r="S39" s="3"/>
      <c r="T39" s="3"/>
      <c r="U39" s="3"/>
      <c r="V39" s="3"/>
      <c r="W39" s="3"/>
      <c r="X39" s="3"/>
      <c r="Y39" s="3"/>
      <c r="Z39" s="3"/>
    </row>
    <row r="40" spans="1:26">
      <c r="A40" s="131">
        <v>39</v>
      </c>
      <c r="B40" s="74" t="s">
        <v>1535</v>
      </c>
      <c r="C40" s="347">
        <v>41660</v>
      </c>
      <c r="D40" s="113" t="s">
        <v>1536</v>
      </c>
      <c r="E40" s="45"/>
      <c r="F40" s="126"/>
      <c r="G40" s="3"/>
      <c r="H40" s="3"/>
      <c r="I40" s="3"/>
      <c r="J40" s="3"/>
      <c r="K40" s="3"/>
      <c r="L40" s="3"/>
      <c r="M40" s="3"/>
      <c r="N40" s="3"/>
      <c r="O40" s="3"/>
      <c r="P40" s="3"/>
      <c r="Q40" s="3"/>
      <c r="R40" s="3"/>
      <c r="S40" s="3"/>
      <c r="T40" s="3"/>
      <c r="U40" s="3"/>
      <c r="V40" s="3"/>
      <c r="W40" s="3"/>
      <c r="X40" s="3"/>
      <c r="Y40" s="3"/>
      <c r="Z40" s="3"/>
    </row>
    <row r="41" spans="1:26" ht="13.8" customHeight="1">
      <c r="A41" s="131">
        <v>40</v>
      </c>
      <c r="B41" s="74" t="s">
        <v>1537</v>
      </c>
      <c r="C41" s="164">
        <v>41667</v>
      </c>
      <c r="D41" s="113" t="s">
        <v>7</v>
      </c>
      <c r="E41" s="45"/>
      <c r="F41" s="126"/>
      <c r="G41" s="3"/>
      <c r="H41" s="3"/>
      <c r="I41" s="3"/>
      <c r="J41" s="3"/>
      <c r="K41" s="3"/>
      <c r="L41" s="3"/>
      <c r="M41" s="3"/>
      <c r="N41" s="3"/>
      <c r="O41" s="3"/>
      <c r="P41" s="3"/>
      <c r="Q41" s="3"/>
      <c r="R41" s="3"/>
      <c r="S41" s="3"/>
      <c r="T41" s="3"/>
      <c r="U41" s="3"/>
      <c r="V41" s="3"/>
      <c r="W41" s="3"/>
      <c r="X41" s="3"/>
      <c r="Y41" s="3"/>
      <c r="Z41" s="3"/>
    </row>
    <row r="42" spans="1:26" s="37" customFormat="1" ht="17.399999999999999" customHeight="1">
      <c r="A42" s="113">
        <v>41</v>
      </c>
      <c r="B42" s="74" t="s">
        <v>1538</v>
      </c>
      <c r="C42" s="164">
        <v>41670</v>
      </c>
      <c r="D42" s="113" t="s">
        <v>1539</v>
      </c>
      <c r="E42" s="45"/>
      <c r="F42" s="3" t="s">
        <v>1540</v>
      </c>
      <c r="G42" s="3"/>
      <c r="H42" s="3"/>
      <c r="I42" s="3"/>
      <c r="J42" s="3"/>
      <c r="K42" s="3"/>
      <c r="L42" s="3"/>
      <c r="M42" s="3"/>
      <c r="N42" s="3"/>
      <c r="O42" s="3"/>
      <c r="P42" s="3"/>
      <c r="Q42" s="3"/>
      <c r="R42" s="3"/>
      <c r="S42" s="3"/>
      <c r="T42" s="3"/>
      <c r="U42" s="3"/>
      <c r="V42" s="3"/>
      <c r="W42" s="3"/>
      <c r="X42" s="3"/>
      <c r="Y42" s="3"/>
      <c r="Z42" s="3"/>
    </row>
    <row r="43" spans="1:26">
      <c r="A43" s="131">
        <v>42</v>
      </c>
      <c r="B43" s="74" t="s">
        <v>1541</v>
      </c>
      <c r="C43" s="347">
        <v>41674</v>
      </c>
      <c r="D43" s="113" t="s">
        <v>7</v>
      </c>
      <c r="E43" s="45"/>
      <c r="F43" s="126"/>
      <c r="G43" s="3"/>
      <c r="H43" s="3"/>
      <c r="I43" s="3"/>
      <c r="J43" s="3"/>
      <c r="K43" s="3"/>
      <c r="L43" s="3"/>
      <c r="M43" s="3"/>
      <c r="N43" s="3"/>
      <c r="O43" s="3"/>
      <c r="P43" s="3"/>
      <c r="Q43" s="3"/>
      <c r="R43" s="3"/>
      <c r="S43" s="3"/>
      <c r="T43" s="3"/>
      <c r="U43" s="3"/>
      <c r="V43" s="3"/>
      <c r="W43" s="3"/>
      <c r="X43" s="3"/>
      <c r="Y43" s="3"/>
      <c r="Z43" s="3"/>
    </row>
    <row r="44" spans="1:26">
      <c r="A44" s="131">
        <v>43</v>
      </c>
      <c r="B44" s="128" t="s">
        <v>1542</v>
      </c>
      <c r="C44" s="347">
        <v>41676</v>
      </c>
      <c r="D44" s="113" t="s">
        <v>429</v>
      </c>
      <c r="E44" s="45"/>
      <c r="F44" s="126"/>
      <c r="G44" s="3"/>
      <c r="H44" s="3"/>
      <c r="I44" s="3"/>
      <c r="J44" s="3"/>
      <c r="K44" s="3"/>
      <c r="L44" s="3"/>
      <c r="M44" s="3"/>
      <c r="N44" s="3"/>
      <c r="O44" s="3"/>
      <c r="P44" s="3"/>
      <c r="Q44" s="3"/>
      <c r="R44" s="3"/>
      <c r="S44" s="3"/>
      <c r="T44" s="3"/>
      <c r="U44" s="3"/>
      <c r="V44" s="3"/>
      <c r="W44" s="3"/>
      <c r="X44" s="3"/>
      <c r="Y44" s="3"/>
      <c r="Z44" s="3"/>
    </row>
    <row r="45" spans="1:26">
      <c r="A45" s="131">
        <v>44</v>
      </c>
      <c r="B45" s="74" t="s">
        <v>1543</v>
      </c>
      <c r="C45" s="347">
        <v>41681</v>
      </c>
      <c r="D45" s="113" t="s">
        <v>429</v>
      </c>
      <c r="E45" s="45"/>
      <c r="F45" s="126"/>
      <c r="G45" s="3"/>
      <c r="H45" s="3"/>
      <c r="I45" s="3"/>
      <c r="J45" s="3"/>
      <c r="K45" s="3"/>
      <c r="L45" s="3"/>
      <c r="M45" s="3"/>
      <c r="N45" s="3"/>
      <c r="O45" s="3"/>
      <c r="P45" s="3"/>
      <c r="Q45" s="3"/>
      <c r="R45" s="3"/>
      <c r="S45" s="3"/>
      <c r="T45" s="3"/>
      <c r="U45" s="3"/>
      <c r="V45" s="3"/>
      <c r="W45" s="3"/>
      <c r="X45" s="3"/>
      <c r="Y45" s="3"/>
      <c r="Z45" s="3"/>
    </row>
    <row r="46" spans="1:26">
      <c r="A46" s="131">
        <v>45</v>
      </c>
      <c r="B46" s="74" t="s">
        <v>1544</v>
      </c>
      <c r="C46" s="347">
        <v>41683</v>
      </c>
      <c r="D46" s="113" t="s">
        <v>426</v>
      </c>
      <c r="E46" s="45"/>
      <c r="F46" s="126"/>
      <c r="G46" s="3"/>
      <c r="H46" s="3"/>
      <c r="I46" s="3"/>
      <c r="J46" s="3"/>
      <c r="K46" s="3"/>
      <c r="L46" s="3"/>
      <c r="M46" s="3"/>
      <c r="N46" s="3"/>
      <c r="O46" s="3"/>
      <c r="P46" s="3"/>
      <c r="Q46" s="3"/>
      <c r="R46" s="3"/>
      <c r="S46" s="3"/>
      <c r="T46" s="3"/>
      <c r="U46" s="3"/>
      <c r="V46" s="3"/>
      <c r="W46" s="3"/>
      <c r="X46" s="3"/>
      <c r="Y46" s="3"/>
      <c r="Z46" s="3"/>
    </row>
    <row r="47" spans="1:26">
      <c r="A47" s="131">
        <v>46</v>
      </c>
      <c r="B47" s="74" t="s">
        <v>1545</v>
      </c>
      <c r="C47" s="347">
        <v>41686</v>
      </c>
      <c r="D47" s="113" t="s">
        <v>426</v>
      </c>
      <c r="E47" s="45"/>
      <c r="F47" s="126"/>
      <c r="G47" s="3"/>
      <c r="H47" s="3"/>
      <c r="I47" s="3"/>
      <c r="J47" s="3"/>
      <c r="K47" s="3"/>
      <c r="L47" s="3"/>
      <c r="M47" s="3"/>
      <c r="N47" s="3"/>
      <c r="O47" s="3"/>
      <c r="P47" s="3"/>
      <c r="Q47" s="3"/>
      <c r="R47" s="3"/>
      <c r="S47" s="3"/>
      <c r="T47" s="3"/>
      <c r="U47" s="3"/>
      <c r="V47" s="3"/>
      <c r="W47" s="3"/>
      <c r="X47" s="3"/>
      <c r="Y47" s="3"/>
      <c r="Z47" s="3"/>
    </row>
    <row r="48" spans="1:26">
      <c r="A48" s="131">
        <v>47</v>
      </c>
      <c r="B48" s="74" t="s">
        <v>1546</v>
      </c>
      <c r="C48" s="347">
        <v>41691</v>
      </c>
      <c r="D48" s="113" t="s">
        <v>1547</v>
      </c>
      <c r="E48" s="45"/>
      <c r="F48" s="126"/>
      <c r="G48" s="3"/>
      <c r="H48" s="3"/>
      <c r="I48" s="3"/>
      <c r="J48" s="3"/>
      <c r="K48" s="3"/>
      <c r="L48" s="3"/>
      <c r="M48" s="3"/>
      <c r="N48" s="3"/>
      <c r="O48" s="3"/>
      <c r="P48" s="3"/>
      <c r="Q48" s="3"/>
      <c r="R48" s="3"/>
      <c r="S48" s="3"/>
      <c r="T48" s="3"/>
      <c r="U48" s="3"/>
      <c r="V48" s="3"/>
      <c r="W48" s="3"/>
      <c r="X48" s="3"/>
      <c r="Y48" s="3"/>
      <c r="Z48" s="3"/>
    </row>
    <row r="49" spans="1:26">
      <c r="A49" s="131">
        <v>48</v>
      </c>
      <c r="B49" s="74" t="s">
        <v>1548</v>
      </c>
      <c r="C49" s="347">
        <v>41695</v>
      </c>
      <c r="D49" s="113" t="s">
        <v>7</v>
      </c>
      <c r="E49" s="45"/>
      <c r="F49" s="126"/>
      <c r="G49" s="3"/>
      <c r="H49" s="3"/>
      <c r="I49" s="3"/>
      <c r="J49" s="3"/>
      <c r="K49" s="3"/>
      <c r="L49" s="3"/>
      <c r="M49" s="3"/>
      <c r="N49" s="3"/>
      <c r="O49" s="3"/>
      <c r="P49" s="3"/>
      <c r="Q49" s="3"/>
      <c r="R49" s="3"/>
      <c r="S49" s="3"/>
      <c r="T49" s="3"/>
      <c r="U49" s="3"/>
      <c r="V49" s="3"/>
      <c r="W49" s="3"/>
      <c r="X49" s="3"/>
      <c r="Y49" s="3"/>
      <c r="Z49" s="3"/>
    </row>
    <row r="50" spans="1:26">
      <c r="A50" s="131">
        <v>49</v>
      </c>
      <c r="B50" s="74" t="s">
        <v>1549</v>
      </c>
      <c r="C50" s="347">
        <v>41702</v>
      </c>
      <c r="D50" s="113" t="s">
        <v>1550</v>
      </c>
      <c r="E50" s="45"/>
      <c r="F50" s="126"/>
      <c r="G50" s="3"/>
      <c r="H50" s="3"/>
      <c r="I50" s="3"/>
      <c r="J50" s="3"/>
      <c r="K50" s="3"/>
      <c r="L50" s="3"/>
      <c r="M50" s="3"/>
      <c r="N50" s="3"/>
      <c r="O50" s="3"/>
      <c r="P50" s="3"/>
      <c r="Q50" s="3"/>
      <c r="R50" s="3"/>
      <c r="S50" s="3"/>
      <c r="T50" s="3"/>
      <c r="U50" s="3"/>
      <c r="V50" s="3"/>
      <c r="W50" s="3"/>
      <c r="X50" s="3"/>
      <c r="Y50" s="3"/>
      <c r="Z50" s="3"/>
    </row>
    <row r="51" spans="1:26">
      <c r="A51" s="131">
        <v>50</v>
      </c>
      <c r="B51" s="74" t="s">
        <v>1551</v>
      </c>
      <c r="C51" s="347">
        <v>41709</v>
      </c>
      <c r="D51" s="113" t="s">
        <v>1498</v>
      </c>
      <c r="E51" s="45"/>
      <c r="F51" s="126"/>
      <c r="G51" s="3"/>
      <c r="H51" s="3"/>
      <c r="I51" s="3"/>
      <c r="J51" s="3"/>
      <c r="K51" s="3"/>
      <c r="L51" s="3"/>
      <c r="M51" s="3"/>
      <c r="N51" s="3"/>
      <c r="O51" s="3"/>
      <c r="P51" s="3"/>
      <c r="Q51" s="3"/>
      <c r="R51" s="3"/>
      <c r="S51" s="3"/>
      <c r="T51" s="3"/>
      <c r="U51" s="3"/>
      <c r="V51" s="3"/>
      <c r="W51" s="3"/>
      <c r="X51" s="3"/>
      <c r="Y51" s="3"/>
      <c r="Z51" s="3"/>
    </row>
    <row r="52" spans="1:26">
      <c r="A52" s="131">
        <v>51</v>
      </c>
      <c r="B52" s="74" t="s">
        <v>1552</v>
      </c>
      <c r="C52" s="347">
        <v>41711</v>
      </c>
      <c r="D52" s="113" t="s">
        <v>1553</v>
      </c>
      <c r="E52" s="45"/>
      <c r="F52" s="126"/>
      <c r="G52" s="3"/>
      <c r="H52" s="3"/>
      <c r="I52" s="3"/>
      <c r="J52" s="3"/>
      <c r="K52" s="3"/>
      <c r="L52" s="3"/>
      <c r="M52" s="3"/>
      <c r="N52" s="3"/>
      <c r="O52" s="3"/>
      <c r="P52" s="3"/>
      <c r="Q52" s="3"/>
      <c r="R52" s="3"/>
      <c r="S52" s="3"/>
      <c r="T52" s="3"/>
      <c r="U52" s="3"/>
      <c r="V52" s="3"/>
      <c r="W52" s="3"/>
      <c r="X52" s="3"/>
      <c r="Y52" s="3"/>
      <c r="Z52" s="3"/>
    </row>
    <row r="53" spans="1:26">
      <c r="A53" s="131">
        <v>52</v>
      </c>
      <c r="B53" s="74" t="s">
        <v>1554</v>
      </c>
      <c r="C53" s="347">
        <v>41718</v>
      </c>
      <c r="D53" s="113" t="s">
        <v>1555</v>
      </c>
      <c r="E53" s="45"/>
      <c r="F53" s="126"/>
      <c r="G53" s="3"/>
      <c r="H53" s="3"/>
      <c r="I53" s="3"/>
      <c r="J53" s="3"/>
      <c r="K53" s="3"/>
      <c r="L53" s="3"/>
      <c r="M53" s="3"/>
      <c r="N53" s="3"/>
      <c r="O53" s="3"/>
      <c r="P53" s="3"/>
      <c r="Q53" s="3"/>
      <c r="R53" s="3"/>
      <c r="S53" s="3"/>
      <c r="T53" s="3"/>
      <c r="U53" s="3"/>
      <c r="V53" s="3"/>
      <c r="W53" s="3"/>
      <c r="X53" s="3"/>
      <c r="Y53" s="3"/>
      <c r="Z53" s="3"/>
    </row>
    <row r="54" spans="1:26">
      <c r="A54" s="131">
        <v>53</v>
      </c>
      <c r="B54" s="74" t="s">
        <v>1556</v>
      </c>
      <c r="C54" s="347">
        <v>41723</v>
      </c>
      <c r="D54" s="113" t="s">
        <v>1555</v>
      </c>
      <c r="E54" s="45"/>
      <c r="F54" s="126"/>
      <c r="G54" s="3"/>
      <c r="H54" s="3"/>
      <c r="I54" s="3"/>
      <c r="J54" s="3"/>
      <c r="K54" s="3"/>
      <c r="L54" s="3"/>
      <c r="M54" s="3"/>
      <c r="N54" s="3"/>
      <c r="O54" s="3"/>
      <c r="P54" s="3"/>
      <c r="Q54" s="3"/>
      <c r="R54" s="3"/>
      <c r="S54" s="3"/>
      <c r="T54" s="3"/>
      <c r="U54" s="3"/>
      <c r="V54" s="3"/>
      <c r="W54" s="3"/>
      <c r="X54" s="3"/>
      <c r="Y54" s="3"/>
      <c r="Z54" s="3"/>
    </row>
    <row r="55" spans="1:26">
      <c r="A55" s="131">
        <v>54</v>
      </c>
      <c r="B55" s="74" t="s">
        <v>1557</v>
      </c>
      <c r="C55" s="347">
        <v>41730</v>
      </c>
      <c r="D55" s="113" t="s">
        <v>1529</v>
      </c>
      <c r="E55" s="45"/>
      <c r="F55" s="126"/>
      <c r="G55" s="3"/>
      <c r="H55" s="3"/>
      <c r="I55" s="3"/>
      <c r="J55" s="3"/>
      <c r="K55" s="3"/>
      <c r="L55" s="3"/>
      <c r="M55" s="3"/>
      <c r="N55" s="3"/>
      <c r="O55" s="3"/>
      <c r="P55" s="3"/>
      <c r="Q55" s="3"/>
      <c r="R55" s="3"/>
      <c r="S55" s="3"/>
      <c r="T55" s="3"/>
      <c r="U55" s="3"/>
      <c r="V55" s="3"/>
      <c r="W55" s="3"/>
      <c r="X55" s="3"/>
      <c r="Y55" s="3"/>
      <c r="Z55" s="3"/>
    </row>
    <row r="56" spans="1:26">
      <c r="A56" s="131">
        <v>55</v>
      </c>
      <c r="B56" s="74" t="s">
        <v>1558</v>
      </c>
      <c r="C56" s="347">
        <v>41737</v>
      </c>
      <c r="D56" s="113" t="s">
        <v>1559</v>
      </c>
      <c r="E56" s="45"/>
      <c r="F56" s="126"/>
      <c r="G56" s="3"/>
      <c r="H56" s="3"/>
      <c r="I56" s="3"/>
      <c r="J56" s="3"/>
      <c r="K56" s="3"/>
      <c r="L56" s="3"/>
      <c r="M56" s="3"/>
      <c r="N56" s="3"/>
      <c r="O56" s="3"/>
      <c r="P56" s="3"/>
      <c r="Q56" s="3"/>
      <c r="R56" s="3"/>
      <c r="S56" s="3"/>
      <c r="T56" s="3"/>
      <c r="U56" s="3"/>
      <c r="V56" s="3"/>
      <c r="W56" s="3"/>
      <c r="X56" s="3"/>
      <c r="Y56" s="3"/>
      <c r="Z56" s="3"/>
    </row>
    <row r="57" spans="1:26">
      <c r="A57" s="131">
        <v>56</v>
      </c>
      <c r="B57" s="74" t="s">
        <v>1560</v>
      </c>
      <c r="C57" s="347">
        <v>41751</v>
      </c>
      <c r="D57" s="113" t="s">
        <v>1561</v>
      </c>
      <c r="E57" s="45"/>
      <c r="F57" s="126"/>
      <c r="G57" s="3"/>
      <c r="H57" s="3"/>
      <c r="I57" s="3"/>
      <c r="J57" s="3"/>
      <c r="K57" s="3"/>
      <c r="L57" s="3"/>
      <c r="M57" s="3"/>
      <c r="N57" s="3"/>
      <c r="O57" s="3"/>
      <c r="P57" s="3"/>
      <c r="Q57" s="3"/>
      <c r="R57" s="3"/>
      <c r="S57" s="3"/>
      <c r="T57" s="3"/>
      <c r="U57" s="3"/>
      <c r="V57" s="3"/>
      <c r="W57" s="3"/>
      <c r="X57" s="3"/>
      <c r="Y57" s="3"/>
      <c r="Z57" s="3"/>
    </row>
    <row r="58" spans="1:26">
      <c r="A58" s="131">
        <v>57</v>
      </c>
      <c r="B58" s="129" t="s">
        <v>1562</v>
      </c>
      <c r="C58" s="347">
        <v>41768</v>
      </c>
      <c r="D58" s="113" t="s">
        <v>1550</v>
      </c>
      <c r="E58" s="45"/>
      <c r="F58" s="126"/>
      <c r="G58" s="3"/>
      <c r="H58" s="3"/>
      <c r="I58" s="3"/>
      <c r="J58" s="3"/>
      <c r="K58" s="3"/>
      <c r="L58" s="3"/>
      <c r="M58" s="3"/>
      <c r="N58" s="3"/>
      <c r="O58" s="3"/>
      <c r="P58" s="3"/>
      <c r="Q58" s="3"/>
      <c r="R58" s="3"/>
      <c r="S58" s="3"/>
      <c r="T58" s="3"/>
      <c r="U58" s="3"/>
      <c r="V58" s="3"/>
      <c r="W58" s="3"/>
      <c r="X58" s="3"/>
      <c r="Y58" s="3"/>
      <c r="Z58" s="3"/>
    </row>
    <row r="59" spans="1:26">
      <c r="A59" s="131">
        <v>58</v>
      </c>
      <c r="B59" s="74" t="s">
        <v>1563</v>
      </c>
      <c r="C59" s="347">
        <v>41772</v>
      </c>
      <c r="D59" s="113" t="s">
        <v>1550</v>
      </c>
      <c r="E59" s="45"/>
      <c r="F59" s="126"/>
      <c r="G59" s="3"/>
      <c r="H59" s="3"/>
      <c r="I59" s="3"/>
      <c r="J59" s="3"/>
      <c r="K59" s="3"/>
      <c r="L59" s="3"/>
      <c r="M59" s="3"/>
      <c r="N59" s="3"/>
      <c r="O59" s="3"/>
      <c r="P59" s="3"/>
      <c r="Q59" s="3"/>
      <c r="R59" s="3"/>
      <c r="S59" s="3"/>
      <c r="T59" s="3"/>
      <c r="U59" s="3"/>
      <c r="V59" s="3"/>
      <c r="W59" s="3"/>
      <c r="X59" s="3"/>
      <c r="Y59" s="3"/>
      <c r="Z59" s="3"/>
    </row>
    <row r="60" spans="1:26">
      <c r="A60" s="131">
        <v>59</v>
      </c>
      <c r="B60" s="74" t="s">
        <v>1564</v>
      </c>
      <c r="C60" s="347">
        <v>41774</v>
      </c>
      <c r="D60" s="113" t="s">
        <v>1550</v>
      </c>
      <c r="E60" s="45"/>
      <c r="F60" s="126"/>
      <c r="G60" s="3"/>
      <c r="H60" s="3"/>
      <c r="I60" s="3"/>
      <c r="J60" s="3"/>
      <c r="K60" s="3"/>
      <c r="L60" s="3"/>
      <c r="M60" s="3"/>
      <c r="N60" s="3"/>
      <c r="O60" s="3"/>
      <c r="P60" s="3"/>
      <c r="Q60" s="3"/>
      <c r="R60" s="3"/>
      <c r="S60" s="3"/>
      <c r="T60" s="3"/>
      <c r="U60" s="3"/>
      <c r="V60" s="3"/>
      <c r="W60" s="3"/>
      <c r="X60" s="3"/>
      <c r="Y60" s="3"/>
      <c r="Z60" s="3"/>
    </row>
    <row r="61" spans="1:26">
      <c r="A61" s="131">
        <v>60</v>
      </c>
      <c r="B61" s="74" t="s">
        <v>1565</v>
      </c>
      <c r="C61" s="347">
        <v>41779</v>
      </c>
      <c r="D61" s="113" t="s">
        <v>1566</v>
      </c>
      <c r="E61" s="45"/>
      <c r="F61" s="126"/>
      <c r="G61" s="3"/>
      <c r="H61" s="3"/>
      <c r="I61" s="3"/>
      <c r="J61" s="3"/>
      <c r="K61" s="3"/>
      <c r="L61" s="3"/>
      <c r="M61" s="3"/>
      <c r="N61" s="3"/>
      <c r="O61" s="3"/>
      <c r="P61" s="3"/>
      <c r="Q61" s="3"/>
      <c r="R61" s="3"/>
      <c r="S61" s="3"/>
      <c r="T61" s="3"/>
      <c r="U61" s="3"/>
      <c r="V61" s="3"/>
      <c r="W61" s="3"/>
      <c r="X61" s="3"/>
      <c r="Y61" s="3"/>
      <c r="Z61" s="3"/>
    </row>
    <row r="62" spans="1:26" ht="28.8">
      <c r="A62" s="131">
        <v>61</v>
      </c>
      <c r="B62" s="74" t="s">
        <v>1567</v>
      </c>
      <c r="C62" s="347">
        <v>41789</v>
      </c>
      <c r="D62" s="113" t="s">
        <v>1566</v>
      </c>
      <c r="E62" s="45"/>
      <c r="F62" s="126"/>
      <c r="G62" s="3"/>
      <c r="H62" s="3"/>
      <c r="I62" s="3"/>
      <c r="J62" s="3"/>
      <c r="K62" s="3"/>
      <c r="L62" s="3"/>
      <c r="M62" s="3"/>
      <c r="N62" s="3"/>
      <c r="O62" s="3"/>
      <c r="P62" s="3"/>
      <c r="Q62" s="3"/>
      <c r="R62" s="3"/>
      <c r="S62" s="3"/>
      <c r="T62" s="3"/>
      <c r="U62" s="3"/>
      <c r="V62" s="3"/>
      <c r="W62" s="3"/>
      <c r="X62" s="3"/>
      <c r="Y62" s="3"/>
      <c r="Z62" s="3"/>
    </row>
    <row r="63" spans="1:26">
      <c r="A63" s="131">
        <v>62</v>
      </c>
      <c r="B63" s="74" t="s">
        <v>1568</v>
      </c>
      <c r="C63" s="347">
        <v>41793</v>
      </c>
      <c r="D63" s="113" t="s">
        <v>1569</v>
      </c>
      <c r="E63" s="45"/>
      <c r="F63" s="126"/>
      <c r="G63" s="3"/>
      <c r="H63" s="3"/>
      <c r="I63" s="3"/>
      <c r="J63" s="3"/>
      <c r="K63" s="3"/>
      <c r="L63" s="3"/>
      <c r="M63" s="3"/>
      <c r="N63" s="3"/>
      <c r="O63" s="3"/>
      <c r="P63" s="3"/>
      <c r="Q63" s="3"/>
      <c r="R63" s="3"/>
      <c r="S63" s="3"/>
      <c r="T63" s="3"/>
      <c r="U63" s="3"/>
      <c r="V63" s="3"/>
      <c r="W63" s="3"/>
      <c r="X63" s="3"/>
      <c r="Y63" s="3"/>
      <c r="Z63" s="3"/>
    </row>
    <row r="64" spans="1:26" ht="28.8">
      <c r="A64" s="131">
        <v>63</v>
      </c>
      <c r="B64" s="74" t="s">
        <v>1570</v>
      </c>
      <c r="C64" s="347">
        <v>41800</v>
      </c>
      <c r="D64" s="113" t="s">
        <v>1566</v>
      </c>
      <c r="E64" s="45"/>
      <c r="F64" s="126"/>
      <c r="G64" s="3"/>
      <c r="H64" s="3"/>
      <c r="I64" s="3"/>
      <c r="J64" s="3"/>
      <c r="K64" s="3"/>
      <c r="L64" s="3"/>
      <c r="M64" s="3"/>
      <c r="N64" s="3"/>
      <c r="O64" s="3"/>
      <c r="P64" s="3"/>
      <c r="Q64" s="3"/>
      <c r="R64" s="3"/>
      <c r="S64" s="3"/>
      <c r="T64" s="3"/>
      <c r="U64" s="3"/>
      <c r="V64" s="3"/>
      <c r="W64" s="3"/>
      <c r="X64" s="3"/>
      <c r="Y64" s="3"/>
      <c r="Z64" s="3"/>
    </row>
    <row r="65" spans="1:26">
      <c r="A65" s="131">
        <v>64</v>
      </c>
      <c r="B65" s="74" t="s">
        <v>1571</v>
      </c>
      <c r="C65" s="347">
        <v>41802</v>
      </c>
      <c r="D65" s="113" t="s">
        <v>7</v>
      </c>
      <c r="E65" s="45"/>
      <c r="F65" s="126"/>
      <c r="G65" s="3"/>
      <c r="H65" s="3"/>
      <c r="I65" s="3"/>
      <c r="J65" s="3"/>
      <c r="K65" s="3"/>
      <c r="L65" s="3"/>
      <c r="M65" s="3"/>
      <c r="N65" s="3"/>
      <c r="O65" s="3"/>
      <c r="P65" s="3"/>
      <c r="Q65" s="3"/>
      <c r="R65" s="3"/>
      <c r="S65" s="3"/>
      <c r="T65" s="3"/>
      <c r="U65" s="3"/>
      <c r="V65" s="3"/>
      <c r="W65" s="3"/>
      <c r="X65" s="3"/>
      <c r="Y65" s="3"/>
      <c r="Z65" s="3"/>
    </row>
    <row r="66" spans="1:26">
      <c r="A66" s="131">
        <v>65</v>
      </c>
      <c r="B66" s="74" t="s">
        <v>1572</v>
      </c>
      <c r="C66" s="347">
        <v>41807</v>
      </c>
      <c r="D66" s="113" t="s">
        <v>1573</v>
      </c>
      <c r="E66" s="45"/>
      <c r="F66" s="126"/>
      <c r="G66" s="3"/>
      <c r="H66" s="3"/>
      <c r="I66" s="3"/>
      <c r="J66" s="3"/>
      <c r="K66" s="3"/>
      <c r="L66" s="3"/>
      <c r="M66" s="3"/>
      <c r="N66" s="3"/>
      <c r="O66" s="3"/>
      <c r="P66" s="3"/>
      <c r="Q66" s="3"/>
      <c r="R66" s="3"/>
      <c r="S66" s="3"/>
      <c r="T66" s="3"/>
      <c r="U66" s="3"/>
      <c r="V66" s="3"/>
      <c r="W66" s="3"/>
      <c r="X66" s="3"/>
      <c r="Y66" s="3"/>
      <c r="Z66" s="3"/>
    </row>
    <row r="67" spans="1:26">
      <c r="A67" s="131">
        <v>66</v>
      </c>
      <c r="B67" s="74" t="s">
        <v>1574</v>
      </c>
      <c r="C67" s="347">
        <v>41814</v>
      </c>
      <c r="D67" s="113" t="s">
        <v>316</v>
      </c>
      <c r="E67" s="45"/>
      <c r="F67" s="126"/>
      <c r="G67" s="3"/>
      <c r="H67" s="3"/>
      <c r="I67" s="3"/>
      <c r="J67" s="3"/>
      <c r="K67" s="3"/>
      <c r="L67" s="3"/>
      <c r="M67" s="3"/>
      <c r="N67" s="3"/>
      <c r="O67" s="3"/>
      <c r="P67" s="3"/>
      <c r="Q67" s="3"/>
      <c r="R67" s="3"/>
      <c r="S67" s="3"/>
      <c r="T67" s="3"/>
      <c r="U67" s="3"/>
      <c r="V67" s="3"/>
      <c r="W67" s="3"/>
      <c r="X67" s="3"/>
      <c r="Y67" s="3"/>
      <c r="Z67" s="3"/>
    </row>
    <row r="68" spans="1:26">
      <c r="A68" s="131">
        <v>67</v>
      </c>
      <c r="B68" s="74" t="s">
        <v>1575</v>
      </c>
      <c r="C68" s="347">
        <v>41821</v>
      </c>
      <c r="D68" s="113" t="s">
        <v>1509</v>
      </c>
      <c r="E68" s="45"/>
      <c r="F68" s="126"/>
      <c r="G68" s="3"/>
      <c r="H68" s="3"/>
      <c r="I68" s="3"/>
      <c r="J68" s="3"/>
      <c r="K68" s="3"/>
      <c r="L68" s="3"/>
      <c r="M68" s="3"/>
      <c r="N68" s="3"/>
      <c r="O68" s="3"/>
      <c r="P68" s="3"/>
      <c r="Q68" s="3"/>
      <c r="R68" s="3"/>
      <c r="S68" s="3"/>
      <c r="T68" s="3"/>
      <c r="U68" s="3"/>
      <c r="V68" s="3"/>
      <c r="W68" s="3"/>
      <c r="X68" s="3"/>
      <c r="Y68" s="3"/>
      <c r="Z68" s="3"/>
    </row>
    <row r="69" spans="1:26">
      <c r="A69" s="131">
        <v>68</v>
      </c>
      <c r="B69" s="74" t="s">
        <v>1576</v>
      </c>
      <c r="C69" s="347">
        <v>41823</v>
      </c>
      <c r="D69" s="113" t="s">
        <v>1553</v>
      </c>
      <c r="E69" s="45"/>
      <c r="F69" s="126"/>
      <c r="G69" s="3"/>
      <c r="H69" s="3"/>
      <c r="I69" s="3"/>
      <c r="J69" s="3"/>
      <c r="K69" s="3"/>
      <c r="L69" s="3"/>
      <c r="M69" s="3"/>
      <c r="N69" s="3"/>
      <c r="O69" s="3"/>
      <c r="P69" s="3"/>
      <c r="Q69" s="3"/>
      <c r="R69" s="3"/>
      <c r="S69" s="3"/>
      <c r="T69" s="3"/>
      <c r="U69" s="3"/>
      <c r="V69" s="3"/>
      <c r="W69" s="3"/>
      <c r="X69" s="3"/>
      <c r="Y69" s="3"/>
      <c r="Z69" s="3"/>
    </row>
    <row r="70" spans="1:26">
      <c r="A70" s="131">
        <v>69</v>
      </c>
      <c r="B70" s="74" t="s">
        <v>1577</v>
      </c>
      <c r="C70" s="347">
        <v>41828</v>
      </c>
      <c r="D70" s="113" t="s">
        <v>316</v>
      </c>
      <c r="E70" s="45"/>
      <c r="F70" s="126"/>
      <c r="G70" s="3"/>
      <c r="H70" s="3"/>
      <c r="I70" s="3"/>
      <c r="J70" s="3"/>
      <c r="K70" s="3"/>
      <c r="L70" s="3"/>
      <c r="M70" s="3"/>
      <c r="N70" s="3"/>
      <c r="O70" s="3"/>
      <c r="P70" s="3"/>
      <c r="Q70" s="3"/>
      <c r="R70" s="3"/>
      <c r="S70" s="3"/>
      <c r="T70" s="3"/>
      <c r="U70" s="3"/>
      <c r="V70" s="3"/>
      <c r="W70" s="3"/>
      <c r="X70" s="3"/>
      <c r="Y70" s="3"/>
      <c r="Z70" s="3"/>
    </row>
    <row r="71" spans="1:26">
      <c r="A71" s="131">
        <v>70</v>
      </c>
      <c r="B71" s="74" t="s">
        <v>1578</v>
      </c>
      <c r="C71" s="347">
        <v>41835</v>
      </c>
      <c r="D71" s="113" t="s">
        <v>1579</v>
      </c>
      <c r="E71" s="45"/>
      <c r="F71" s="126"/>
      <c r="G71" s="3"/>
      <c r="H71" s="3"/>
      <c r="I71" s="3"/>
      <c r="J71" s="3"/>
      <c r="K71" s="3"/>
      <c r="L71" s="3"/>
      <c r="M71" s="3"/>
      <c r="N71" s="3"/>
      <c r="O71" s="3"/>
      <c r="P71" s="3"/>
      <c r="Q71" s="3"/>
      <c r="R71" s="3"/>
      <c r="S71" s="3"/>
      <c r="T71" s="3"/>
      <c r="U71" s="3"/>
      <c r="V71" s="3"/>
      <c r="W71" s="3"/>
      <c r="X71" s="3"/>
      <c r="Y71" s="3"/>
      <c r="Z71" s="3"/>
    </row>
    <row r="72" spans="1:26">
      <c r="A72" s="131">
        <v>71</v>
      </c>
      <c r="B72" s="74" t="s">
        <v>1580</v>
      </c>
      <c r="C72" s="347">
        <v>41835</v>
      </c>
      <c r="D72" s="113" t="s">
        <v>1579</v>
      </c>
      <c r="E72" s="45"/>
      <c r="F72" s="126"/>
      <c r="G72" s="3"/>
      <c r="H72" s="3"/>
      <c r="I72" s="3"/>
      <c r="J72" s="3"/>
      <c r="K72" s="3"/>
      <c r="L72" s="3"/>
      <c r="M72" s="3"/>
      <c r="N72" s="3"/>
      <c r="O72" s="3"/>
      <c r="P72" s="3"/>
      <c r="Q72" s="3"/>
      <c r="R72" s="3"/>
      <c r="S72" s="3"/>
      <c r="T72" s="3"/>
      <c r="U72" s="3"/>
      <c r="V72" s="3"/>
      <c r="W72" s="3"/>
      <c r="X72" s="3"/>
      <c r="Y72" s="3"/>
      <c r="Z72" s="3"/>
    </row>
    <row r="73" spans="1:26" ht="15" customHeight="1">
      <c r="A73" s="131">
        <v>72</v>
      </c>
      <c r="B73" s="74" t="s">
        <v>1581</v>
      </c>
      <c r="C73" s="347">
        <v>41841</v>
      </c>
      <c r="D73" s="348" t="s">
        <v>1582</v>
      </c>
      <c r="E73" s="47"/>
      <c r="F73" s="126"/>
      <c r="G73" s="3"/>
      <c r="H73" s="3"/>
      <c r="I73" s="3"/>
      <c r="J73" s="3"/>
      <c r="K73" s="3"/>
      <c r="L73" s="3"/>
      <c r="M73" s="3"/>
      <c r="N73" s="3"/>
      <c r="O73" s="3"/>
      <c r="P73" s="3"/>
      <c r="Q73" s="3"/>
      <c r="R73" s="3"/>
      <c r="S73" s="3"/>
      <c r="T73" s="3"/>
      <c r="U73" s="3"/>
      <c r="V73" s="3"/>
      <c r="W73" s="3"/>
      <c r="X73" s="3"/>
      <c r="Y73" s="3"/>
      <c r="Z73" s="3"/>
    </row>
    <row r="74" spans="1:26" ht="15.6" customHeight="1">
      <c r="A74" s="131">
        <v>73</v>
      </c>
      <c r="B74" s="74" t="s">
        <v>1583</v>
      </c>
      <c r="C74" s="347">
        <v>41844</v>
      </c>
      <c r="D74" s="348" t="s">
        <v>1584</v>
      </c>
      <c r="E74" s="47"/>
      <c r="F74" s="126"/>
      <c r="G74" s="3"/>
      <c r="H74" s="3"/>
      <c r="I74" s="3"/>
      <c r="J74" s="3"/>
      <c r="K74" s="3"/>
      <c r="L74" s="3"/>
      <c r="M74" s="3"/>
      <c r="N74" s="3"/>
      <c r="O74" s="3"/>
      <c r="P74" s="3"/>
      <c r="Q74" s="3"/>
      <c r="R74" s="3"/>
      <c r="S74" s="3"/>
      <c r="T74" s="3"/>
      <c r="U74" s="3"/>
      <c r="V74" s="3"/>
      <c r="W74" s="3"/>
      <c r="X74" s="3"/>
      <c r="Y74" s="3"/>
      <c r="Z74" s="3"/>
    </row>
    <row r="75" spans="1:26">
      <c r="A75" s="131">
        <v>74</v>
      </c>
      <c r="B75" s="74" t="s">
        <v>1585</v>
      </c>
      <c r="C75" s="347">
        <v>41850</v>
      </c>
      <c r="D75" s="113" t="s">
        <v>316</v>
      </c>
      <c r="E75" s="45"/>
      <c r="F75" s="126"/>
      <c r="G75" s="3"/>
      <c r="H75" s="3"/>
      <c r="I75" s="3"/>
      <c r="J75" s="3"/>
      <c r="K75" s="3"/>
      <c r="L75" s="3"/>
      <c r="M75" s="3"/>
      <c r="N75" s="3"/>
      <c r="O75" s="3"/>
      <c r="P75" s="3"/>
      <c r="Q75" s="3"/>
      <c r="R75" s="3"/>
      <c r="S75" s="3"/>
      <c r="T75" s="3"/>
      <c r="U75" s="3"/>
      <c r="V75" s="3"/>
      <c r="W75" s="3"/>
      <c r="X75" s="3"/>
      <c r="Y75" s="3"/>
      <c r="Z75" s="3"/>
    </row>
    <row r="76" spans="1:26">
      <c r="A76" s="131">
        <v>75</v>
      </c>
      <c r="B76" s="74" t="s">
        <v>1586</v>
      </c>
      <c r="C76" s="347">
        <v>41851</v>
      </c>
      <c r="D76" s="113" t="s">
        <v>1514</v>
      </c>
      <c r="E76" s="45"/>
      <c r="F76" s="126"/>
      <c r="G76" s="3"/>
      <c r="H76" s="3"/>
      <c r="I76" s="3"/>
      <c r="J76" s="3"/>
      <c r="K76" s="3"/>
      <c r="L76" s="3"/>
      <c r="M76" s="3"/>
      <c r="N76" s="3"/>
      <c r="O76" s="3"/>
      <c r="P76" s="3"/>
      <c r="Q76" s="3"/>
      <c r="R76" s="3"/>
      <c r="S76" s="3"/>
      <c r="T76" s="3"/>
      <c r="U76" s="3"/>
      <c r="V76" s="3"/>
      <c r="W76" s="3"/>
      <c r="X76" s="3"/>
      <c r="Y76" s="3"/>
      <c r="Z76" s="3"/>
    </row>
    <row r="77" spans="1:26">
      <c r="A77" s="131">
        <v>76</v>
      </c>
      <c r="B77" s="74" t="s">
        <v>1587</v>
      </c>
      <c r="C77" s="347">
        <v>41856</v>
      </c>
      <c r="D77" s="113" t="s">
        <v>1498</v>
      </c>
      <c r="E77" s="45"/>
      <c r="F77" s="126"/>
      <c r="G77" s="3"/>
      <c r="H77" s="3"/>
      <c r="I77" s="3"/>
      <c r="J77" s="3"/>
      <c r="K77" s="3"/>
      <c r="L77" s="3"/>
      <c r="M77" s="3"/>
      <c r="N77" s="3"/>
      <c r="O77" s="3"/>
      <c r="P77" s="3"/>
      <c r="Q77" s="3"/>
      <c r="R77" s="3"/>
      <c r="S77" s="3"/>
      <c r="T77" s="3"/>
      <c r="U77" s="3"/>
      <c r="V77" s="3"/>
      <c r="W77" s="3"/>
      <c r="X77" s="3"/>
      <c r="Y77" s="3"/>
      <c r="Z77" s="3"/>
    </row>
    <row r="78" spans="1:26">
      <c r="A78" s="131">
        <v>77</v>
      </c>
      <c r="B78" s="74" t="s">
        <v>1588</v>
      </c>
      <c r="C78" s="347">
        <v>41856</v>
      </c>
      <c r="D78" s="113" t="s">
        <v>1589</v>
      </c>
      <c r="E78" s="45"/>
      <c r="F78" s="126"/>
      <c r="G78" s="3"/>
      <c r="H78" s="3"/>
      <c r="I78" s="3"/>
      <c r="J78" s="3"/>
      <c r="K78" s="3"/>
      <c r="L78" s="3"/>
      <c r="M78" s="3"/>
      <c r="N78" s="3"/>
      <c r="O78" s="3"/>
      <c r="P78" s="3"/>
      <c r="Q78" s="3"/>
      <c r="R78" s="3"/>
      <c r="S78" s="3"/>
      <c r="T78" s="3"/>
      <c r="U78" s="3"/>
      <c r="V78" s="3"/>
      <c r="W78" s="3"/>
      <c r="X78" s="3"/>
      <c r="Y78" s="3"/>
      <c r="Z78" s="3"/>
    </row>
    <row r="79" spans="1:26">
      <c r="A79" s="131">
        <v>78</v>
      </c>
      <c r="B79" s="74" t="s">
        <v>1590</v>
      </c>
      <c r="C79" s="347">
        <v>41856</v>
      </c>
      <c r="D79" s="113" t="s">
        <v>1589</v>
      </c>
      <c r="E79" s="45"/>
      <c r="F79" s="126"/>
      <c r="G79" s="3"/>
      <c r="H79" s="3"/>
      <c r="I79" s="3"/>
      <c r="J79" s="3"/>
      <c r="K79" s="3"/>
      <c r="L79" s="3"/>
      <c r="M79" s="3"/>
      <c r="N79" s="3"/>
      <c r="O79" s="3"/>
      <c r="P79" s="3"/>
      <c r="Q79" s="3"/>
      <c r="R79" s="3"/>
      <c r="S79" s="3"/>
      <c r="T79" s="3"/>
      <c r="U79" s="3"/>
      <c r="V79" s="3"/>
      <c r="W79" s="3"/>
      <c r="X79" s="3"/>
      <c r="Y79" s="3"/>
      <c r="Z79" s="3"/>
    </row>
    <row r="80" spans="1:26">
      <c r="A80" s="131">
        <v>79</v>
      </c>
      <c r="B80" s="74" t="s">
        <v>1591</v>
      </c>
      <c r="C80" s="347">
        <v>41856</v>
      </c>
      <c r="D80" s="113" t="s">
        <v>1589</v>
      </c>
      <c r="E80" s="45"/>
      <c r="F80" s="126"/>
      <c r="G80" s="3"/>
      <c r="H80" s="3"/>
      <c r="I80" s="3"/>
      <c r="J80" s="3"/>
      <c r="K80" s="3"/>
      <c r="L80" s="3"/>
      <c r="M80" s="3"/>
      <c r="N80" s="3"/>
      <c r="O80" s="3"/>
      <c r="P80" s="3"/>
      <c r="Q80" s="3"/>
      <c r="R80" s="3"/>
      <c r="S80" s="3"/>
      <c r="T80" s="3"/>
      <c r="U80" s="3"/>
      <c r="V80" s="3"/>
      <c r="W80" s="3"/>
      <c r="X80" s="3"/>
      <c r="Y80" s="3"/>
      <c r="Z80" s="3"/>
    </row>
    <row r="81" spans="1:26">
      <c r="A81" s="131">
        <v>80</v>
      </c>
      <c r="B81" s="74" t="s">
        <v>1592</v>
      </c>
      <c r="C81" s="347">
        <v>41877</v>
      </c>
      <c r="D81" s="113" t="s">
        <v>1593</v>
      </c>
      <c r="E81" s="45"/>
      <c r="F81" s="126"/>
      <c r="G81" s="3"/>
      <c r="H81" s="3"/>
      <c r="I81" s="3"/>
      <c r="J81" s="3"/>
      <c r="K81" s="3"/>
      <c r="L81" s="3"/>
      <c r="M81" s="3"/>
      <c r="N81" s="3"/>
      <c r="O81" s="3"/>
      <c r="P81" s="3"/>
      <c r="Q81" s="3"/>
      <c r="R81" s="3"/>
      <c r="S81" s="3"/>
      <c r="T81" s="3"/>
      <c r="U81" s="3"/>
      <c r="V81" s="3"/>
      <c r="W81" s="3"/>
      <c r="X81" s="3"/>
      <c r="Y81" s="3"/>
      <c r="Z81" s="3"/>
    </row>
    <row r="82" spans="1:26">
      <c r="A82" s="131">
        <v>81</v>
      </c>
      <c r="B82" s="74" t="s">
        <v>1594</v>
      </c>
      <c r="C82" s="347">
        <v>41863</v>
      </c>
      <c r="D82" s="113" t="s">
        <v>1595</v>
      </c>
      <c r="E82" s="45"/>
      <c r="F82" s="126"/>
      <c r="G82" s="3"/>
      <c r="H82" s="3"/>
      <c r="I82" s="3"/>
      <c r="J82" s="3"/>
      <c r="K82" s="3"/>
      <c r="L82" s="3"/>
      <c r="M82" s="3"/>
      <c r="N82" s="3"/>
      <c r="O82" s="3"/>
      <c r="P82" s="3"/>
      <c r="Q82" s="3"/>
      <c r="R82" s="3"/>
      <c r="S82" s="3"/>
      <c r="T82" s="3"/>
      <c r="U82" s="3"/>
      <c r="V82" s="3"/>
      <c r="W82" s="3"/>
      <c r="X82" s="3"/>
      <c r="Y82" s="3"/>
      <c r="Z82" s="3"/>
    </row>
    <row r="83" spans="1:26">
      <c r="A83" s="131">
        <v>82</v>
      </c>
      <c r="B83" s="74" t="s">
        <v>1596</v>
      </c>
      <c r="C83" s="347">
        <v>41870</v>
      </c>
      <c r="D83" s="113" t="s">
        <v>316</v>
      </c>
      <c r="E83" s="45"/>
      <c r="F83" s="126"/>
      <c r="G83" s="3"/>
      <c r="H83" s="3"/>
      <c r="I83" s="3"/>
      <c r="J83" s="3"/>
      <c r="K83" s="3"/>
      <c r="L83" s="3"/>
      <c r="M83" s="3"/>
      <c r="N83" s="3"/>
      <c r="O83" s="3"/>
      <c r="P83" s="3"/>
      <c r="Q83" s="3"/>
      <c r="R83" s="3"/>
      <c r="S83" s="3"/>
      <c r="T83" s="3"/>
      <c r="U83" s="3"/>
      <c r="V83" s="3"/>
      <c r="W83" s="3"/>
      <c r="X83" s="3"/>
      <c r="Y83" s="3"/>
      <c r="Z83" s="3"/>
    </row>
    <row r="84" spans="1:26" ht="16.2" customHeight="1">
      <c r="A84" s="131">
        <v>83</v>
      </c>
      <c r="B84" s="74" t="s">
        <v>1597</v>
      </c>
      <c r="C84" s="347">
        <v>41872</v>
      </c>
      <c r="D84" s="113" t="s">
        <v>1598</v>
      </c>
      <c r="E84" s="45"/>
      <c r="F84" s="126"/>
      <c r="G84" s="3"/>
      <c r="H84" s="3"/>
      <c r="I84" s="3"/>
      <c r="J84" s="3"/>
      <c r="K84" s="3"/>
      <c r="L84" s="3"/>
      <c r="M84" s="3"/>
      <c r="N84" s="3"/>
      <c r="O84" s="3"/>
      <c r="P84" s="3"/>
      <c r="Q84" s="3"/>
      <c r="R84" s="3"/>
      <c r="S84" s="3"/>
      <c r="T84" s="3"/>
      <c r="U84" s="3"/>
      <c r="V84" s="3"/>
      <c r="W84" s="3"/>
      <c r="X84" s="3"/>
      <c r="Y84" s="3"/>
      <c r="Z84" s="3"/>
    </row>
    <row r="85" spans="1:26">
      <c r="A85" s="131">
        <v>84</v>
      </c>
      <c r="B85" s="74" t="s">
        <v>1599</v>
      </c>
      <c r="C85" s="347">
        <v>41884</v>
      </c>
      <c r="D85" s="113" t="s">
        <v>1600</v>
      </c>
      <c r="E85" s="45"/>
      <c r="F85" s="126"/>
      <c r="G85" s="3"/>
      <c r="H85" s="3"/>
      <c r="I85" s="3"/>
      <c r="J85" s="3"/>
      <c r="K85" s="3"/>
      <c r="L85" s="3"/>
      <c r="M85" s="3"/>
      <c r="N85" s="3"/>
      <c r="O85" s="3"/>
      <c r="P85" s="3"/>
      <c r="Q85" s="3"/>
      <c r="R85" s="3"/>
      <c r="S85" s="3"/>
      <c r="T85" s="3"/>
      <c r="U85" s="3"/>
      <c r="V85" s="3"/>
      <c r="W85" s="3"/>
      <c r="X85" s="3"/>
      <c r="Y85" s="3"/>
      <c r="Z85" s="3"/>
    </row>
    <row r="86" spans="1:26">
      <c r="A86" s="131">
        <v>85</v>
      </c>
      <c r="B86" s="74" t="s">
        <v>1601</v>
      </c>
      <c r="C86" s="347">
        <v>41891</v>
      </c>
      <c r="D86" s="113" t="s">
        <v>1602</v>
      </c>
      <c r="E86" s="45"/>
      <c r="F86" s="126"/>
      <c r="G86" s="3"/>
      <c r="H86" s="3"/>
      <c r="I86" s="3"/>
      <c r="J86" s="3"/>
      <c r="K86" s="3"/>
      <c r="L86" s="3"/>
      <c r="M86" s="3"/>
      <c r="N86" s="3"/>
      <c r="O86" s="3"/>
      <c r="P86" s="3"/>
      <c r="Q86" s="3"/>
      <c r="R86" s="3"/>
      <c r="S86" s="3"/>
      <c r="T86" s="3"/>
      <c r="U86" s="3"/>
      <c r="V86" s="3"/>
      <c r="W86" s="3"/>
      <c r="X86" s="3"/>
      <c r="Y86" s="3"/>
      <c r="Z86" s="3"/>
    </row>
    <row r="87" spans="1:26">
      <c r="A87" s="131">
        <v>86</v>
      </c>
      <c r="B87" s="74" t="s">
        <v>1603</v>
      </c>
      <c r="C87" s="347">
        <v>41893</v>
      </c>
      <c r="D87" s="113" t="s">
        <v>1604</v>
      </c>
      <c r="E87" s="45"/>
      <c r="F87" s="126"/>
      <c r="G87" s="3"/>
      <c r="H87" s="3"/>
      <c r="I87" s="3"/>
      <c r="J87" s="3"/>
      <c r="K87" s="3"/>
      <c r="L87" s="3"/>
      <c r="M87" s="3"/>
      <c r="N87" s="3"/>
      <c r="O87" s="3"/>
      <c r="P87" s="3"/>
      <c r="Q87" s="3"/>
      <c r="R87" s="3"/>
      <c r="S87" s="3"/>
      <c r="T87" s="3"/>
      <c r="U87" s="3"/>
      <c r="V87" s="3"/>
      <c r="W87" s="3"/>
      <c r="X87" s="3"/>
      <c r="Y87" s="3"/>
      <c r="Z87" s="3"/>
    </row>
    <row r="88" spans="1:26">
      <c r="A88" s="131">
        <v>87</v>
      </c>
      <c r="B88" s="74" t="s">
        <v>1605</v>
      </c>
      <c r="C88" s="347">
        <v>41898</v>
      </c>
      <c r="D88" s="113" t="s">
        <v>1602</v>
      </c>
      <c r="E88" s="45"/>
      <c r="F88" s="126"/>
      <c r="G88" s="3"/>
      <c r="H88" s="3"/>
      <c r="I88" s="3"/>
      <c r="J88" s="3"/>
      <c r="K88" s="3"/>
      <c r="L88" s="3"/>
      <c r="M88" s="3"/>
      <c r="N88" s="3"/>
      <c r="O88" s="3"/>
      <c r="P88" s="3"/>
      <c r="Q88" s="3"/>
      <c r="R88" s="3"/>
      <c r="S88" s="3"/>
      <c r="T88" s="3"/>
      <c r="U88" s="3"/>
      <c r="V88" s="3"/>
      <c r="W88" s="3"/>
      <c r="X88" s="3"/>
      <c r="Y88" s="3"/>
      <c r="Z88" s="3"/>
    </row>
    <row r="89" spans="1:26">
      <c r="A89" s="131">
        <v>88</v>
      </c>
      <c r="B89" s="74" t="s">
        <v>1606</v>
      </c>
      <c r="C89" s="347">
        <v>41912</v>
      </c>
      <c r="D89" s="113" t="s">
        <v>1607</v>
      </c>
      <c r="E89" s="45"/>
      <c r="F89" s="126"/>
      <c r="G89" s="3"/>
      <c r="H89" s="3"/>
      <c r="I89" s="3"/>
      <c r="J89" s="3"/>
      <c r="K89" s="3"/>
      <c r="L89" s="3"/>
      <c r="M89" s="3"/>
      <c r="N89" s="3"/>
      <c r="O89" s="3"/>
      <c r="P89" s="3"/>
      <c r="Q89" s="3"/>
      <c r="R89" s="3"/>
      <c r="S89" s="3"/>
      <c r="T89" s="3"/>
      <c r="U89" s="3"/>
      <c r="V89" s="3"/>
      <c r="W89" s="3"/>
      <c r="X89" s="3"/>
      <c r="Y89" s="3"/>
      <c r="Z89" s="3"/>
    </row>
    <row r="90" spans="1:26">
      <c r="A90" s="131">
        <v>89</v>
      </c>
      <c r="B90" s="74" t="s">
        <v>1608</v>
      </c>
      <c r="C90" s="347">
        <v>41927</v>
      </c>
      <c r="D90" s="113" t="s">
        <v>1498</v>
      </c>
      <c r="E90" s="45"/>
      <c r="F90" s="126"/>
      <c r="G90" s="3"/>
      <c r="H90" s="3"/>
      <c r="I90" s="3"/>
      <c r="J90" s="3"/>
      <c r="K90" s="3"/>
      <c r="L90" s="3"/>
      <c r="M90" s="3"/>
      <c r="N90" s="3"/>
      <c r="O90" s="3"/>
      <c r="P90" s="3"/>
      <c r="Q90" s="3"/>
      <c r="R90" s="3"/>
      <c r="S90" s="3"/>
      <c r="T90" s="3"/>
      <c r="U90" s="3"/>
      <c r="V90" s="3"/>
      <c r="W90" s="3"/>
      <c r="X90" s="3"/>
      <c r="Y90" s="3"/>
      <c r="Z90" s="3"/>
    </row>
    <row r="91" spans="1:26">
      <c r="A91" s="131">
        <v>90</v>
      </c>
      <c r="B91" s="74" t="s">
        <v>1609</v>
      </c>
      <c r="C91" s="347">
        <v>41929</v>
      </c>
      <c r="D91" s="113" t="s">
        <v>1610</v>
      </c>
      <c r="E91" s="45"/>
      <c r="F91" s="126"/>
      <c r="G91" s="3"/>
      <c r="H91" s="3"/>
      <c r="I91" s="3"/>
      <c r="J91" s="3"/>
      <c r="K91" s="3"/>
      <c r="L91" s="3"/>
      <c r="M91" s="3"/>
      <c r="N91" s="3"/>
      <c r="O91" s="3"/>
      <c r="P91" s="3"/>
      <c r="Q91" s="3"/>
      <c r="R91" s="3"/>
      <c r="S91" s="3"/>
      <c r="T91" s="3"/>
      <c r="U91" s="3"/>
      <c r="V91" s="3"/>
      <c r="W91" s="3"/>
      <c r="X91" s="3"/>
      <c r="Y91" s="3"/>
      <c r="Z91" s="3"/>
    </row>
    <row r="92" spans="1:26">
      <c r="A92" s="131">
        <v>91</v>
      </c>
      <c r="B92" s="74" t="s">
        <v>1611</v>
      </c>
      <c r="C92" s="347">
        <v>41961</v>
      </c>
      <c r="D92" s="113" t="s">
        <v>1612</v>
      </c>
      <c r="E92" s="45"/>
      <c r="F92" s="126"/>
      <c r="G92" s="3"/>
      <c r="H92" s="3"/>
      <c r="I92" s="3"/>
      <c r="J92" s="3"/>
      <c r="K92" s="3"/>
      <c r="L92" s="3"/>
      <c r="M92" s="3"/>
      <c r="N92" s="3"/>
      <c r="O92" s="3"/>
      <c r="P92" s="3"/>
      <c r="Q92" s="3"/>
      <c r="R92" s="3"/>
      <c r="S92" s="3"/>
      <c r="T92" s="3"/>
      <c r="U92" s="3"/>
      <c r="V92" s="3"/>
      <c r="W92" s="3"/>
      <c r="X92" s="3"/>
      <c r="Y92" s="3"/>
      <c r="Z92" s="3"/>
    </row>
    <row r="93" spans="1:26">
      <c r="A93" s="131">
        <v>92</v>
      </c>
      <c r="B93" s="74" t="s">
        <v>1613</v>
      </c>
      <c r="C93" s="347">
        <v>41968</v>
      </c>
      <c r="D93" s="113" t="s">
        <v>1614</v>
      </c>
      <c r="E93" s="45"/>
      <c r="F93" s="126"/>
      <c r="G93" s="3"/>
      <c r="H93" s="3"/>
      <c r="I93" s="3"/>
      <c r="J93" s="3"/>
      <c r="K93" s="3"/>
      <c r="L93" s="3"/>
      <c r="M93" s="3"/>
      <c r="N93" s="3"/>
      <c r="O93" s="3"/>
      <c r="P93" s="3"/>
      <c r="Q93" s="3"/>
      <c r="R93" s="3"/>
      <c r="S93" s="3"/>
      <c r="T93" s="3"/>
      <c r="U93" s="3"/>
      <c r="V93" s="3"/>
      <c r="W93" s="3"/>
      <c r="X93" s="3"/>
      <c r="Y93" s="3"/>
      <c r="Z93" s="3"/>
    </row>
    <row r="94" spans="1:26">
      <c r="A94" s="131">
        <v>93</v>
      </c>
      <c r="B94" s="74" t="s">
        <v>1615</v>
      </c>
      <c r="C94" s="347">
        <v>41975</v>
      </c>
      <c r="D94" s="113" t="s">
        <v>1616</v>
      </c>
      <c r="E94" s="45"/>
      <c r="F94" s="126"/>
      <c r="G94" s="3"/>
      <c r="H94" s="3"/>
      <c r="I94" s="3"/>
      <c r="J94" s="3"/>
      <c r="K94" s="3"/>
      <c r="L94" s="3"/>
      <c r="M94" s="3"/>
      <c r="N94" s="3"/>
      <c r="O94" s="3"/>
      <c r="P94" s="3"/>
      <c r="Q94" s="3"/>
      <c r="R94" s="3"/>
      <c r="S94" s="3"/>
      <c r="T94" s="3"/>
      <c r="U94" s="3"/>
      <c r="V94" s="3"/>
      <c r="W94" s="3"/>
      <c r="X94" s="3"/>
      <c r="Y94" s="3"/>
      <c r="Z94" s="3"/>
    </row>
    <row r="95" spans="1:26">
      <c r="A95" s="131">
        <v>94</v>
      </c>
      <c r="B95" s="74" t="s">
        <v>1617</v>
      </c>
      <c r="C95" s="347">
        <v>41982</v>
      </c>
      <c r="D95" s="113" t="s">
        <v>1618</v>
      </c>
      <c r="E95" s="45"/>
      <c r="F95" s="126"/>
      <c r="G95" s="3"/>
      <c r="H95" s="3"/>
      <c r="I95" s="3"/>
      <c r="J95" s="3"/>
      <c r="K95" s="3"/>
      <c r="L95" s="3"/>
      <c r="M95" s="3"/>
      <c r="N95" s="3"/>
      <c r="O95" s="3"/>
      <c r="P95" s="3"/>
      <c r="Q95" s="3"/>
      <c r="R95" s="3"/>
      <c r="S95" s="3"/>
      <c r="T95" s="3"/>
      <c r="U95" s="3"/>
      <c r="V95" s="3"/>
      <c r="W95" s="3"/>
      <c r="X95" s="3"/>
      <c r="Y95" s="3"/>
      <c r="Z95" s="3"/>
    </row>
    <row r="96" spans="1:26">
      <c r="A96" s="131">
        <v>95</v>
      </c>
      <c r="B96" s="74" t="s">
        <v>1619</v>
      </c>
      <c r="C96" s="347">
        <v>41989</v>
      </c>
      <c r="D96" s="113" t="s">
        <v>316</v>
      </c>
      <c r="E96" s="45"/>
      <c r="F96" s="126"/>
      <c r="G96" s="3"/>
      <c r="H96" s="3"/>
      <c r="I96" s="3"/>
      <c r="J96" s="3"/>
      <c r="K96" s="3"/>
      <c r="L96" s="3"/>
      <c r="M96" s="3"/>
      <c r="N96" s="3"/>
      <c r="O96" s="3"/>
      <c r="P96" s="3"/>
      <c r="Q96" s="3"/>
      <c r="R96" s="3"/>
      <c r="S96" s="3"/>
      <c r="T96" s="3"/>
      <c r="U96" s="3"/>
      <c r="V96" s="3"/>
      <c r="W96" s="3"/>
      <c r="X96" s="3"/>
      <c r="Y96" s="3"/>
      <c r="Z96" s="3"/>
    </row>
    <row r="97" spans="1:26">
      <c r="A97" s="131">
        <v>96</v>
      </c>
      <c r="B97" s="74" t="s">
        <v>1620</v>
      </c>
      <c r="C97" s="347">
        <v>41990</v>
      </c>
      <c r="D97" s="113" t="s">
        <v>316</v>
      </c>
      <c r="E97" s="45"/>
      <c r="F97" s="126"/>
      <c r="G97" s="3"/>
      <c r="H97" s="3"/>
      <c r="I97" s="3"/>
      <c r="J97" s="3"/>
      <c r="K97" s="3"/>
      <c r="L97" s="3"/>
      <c r="M97" s="3"/>
      <c r="N97" s="3"/>
      <c r="O97" s="3"/>
      <c r="P97" s="3"/>
      <c r="Q97" s="3"/>
      <c r="R97" s="3"/>
      <c r="S97" s="3"/>
      <c r="T97" s="3"/>
      <c r="U97" s="3"/>
      <c r="V97" s="3"/>
      <c r="W97" s="3"/>
      <c r="X97" s="3"/>
      <c r="Y97" s="3"/>
      <c r="Z97" s="3"/>
    </row>
    <row r="98" spans="1:26">
      <c r="A98" s="131">
        <v>97</v>
      </c>
      <c r="B98" s="74" t="s">
        <v>1621</v>
      </c>
      <c r="C98" s="347">
        <v>41991</v>
      </c>
      <c r="D98" s="113" t="s">
        <v>316</v>
      </c>
      <c r="E98" s="45"/>
      <c r="F98" s="126"/>
      <c r="G98" s="3"/>
      <c r="H98" s="3"/>
      <c r="I98" s="3"/>
      <c r="J98" s="3"/>
      <c r="K98" s="3"/>
      <c r="L98" s="3"/>
      <c r="M98" s="3"/>
      <c r="N98" s="3"/>
      <c r="O98" s="3"/>
      <c r="P98" s="3"/>
      <c r="Q98" s="3"/>
      <c r="R98" s="3"/>
      <c r="S98" s="3"/>
      <c r="T98" s="3"/>
      <c r="U98" s="3"/>
      <c r="V98" s="3"/>
      <c r="W98" s="3"/>
      <c r="X98" s="3"/>
      <c r="Y98" s="3"/>
      <c r="Z98" s="3"/>
    </row>
    <row r="99" spans="1:26">
      <c r="A99" s="131">
        <v>98</v>
      </c>
      <c r="B99" s="74" t="s">
        <v>1622</v>
      </c>
      <c r="C99" s="347">
        <v>42034</v>
      </c>
      <c r="D99" s="113" t="s">
        <v>1623</v>
      </c>
      <c r="E99" s="45"/>
      <c r="F99" s="125"/>
      <c r="G99" s="3"/>
      <c r="H99" s="3"/>
      <c r="I99" s="3"/>
      <c r="J99" s="3"/>
      <c r="K99" s="3"/>
      <c r="L99" s="3"/>
      <c r="M99" s="3"/>
      <c r="N99" s="3"/>
      <c r="O99" s="3"/>
      <c r="P99" s="3"/>
      <c r="Q99" s="3"/>
      <c r="R99" s="3"/>
      <c r="S99" s="3"/>
      <c r="T99" s="3"/>
      <c r="U99" s="3"/>
      <c r="V99" s="3"/>
      <c r="W99" s="3"/>
      <c r="X99" s="3"/>
      <c r="Y99" s="3"/>
      <c r="Z99" s="3"/>
    </row>
    <row r="100" spans="1:26">
      <c r="A100" s="131">
        <v>99</v>
      </c>
      <c r="B100" s="74" t="s">
        <v>1624</v>
      </c>
      <c r="C100" s="347">
        <v>42044</v>
      </c>
      <c r="D100" s="113" t="s">
        <v>1625</v>
      </c>
      <c r="E100" s="45"/>
      <c r="F100" s="126"/>
      <c r="G100" s="3"/>
      <c r="H100" s="3"/>
      <c r="I100" s="3"/>
      <c r="J100" s="3"/>
      <c r="K100" s="3"/>
      <c r="L100" s="3"/>
      <c r="M100" s="3"/>
      <c r="N100" s="3"/>
      <c r="O100" s="3"/>
      <c r="P100" s="3"/>
      <c r="Q100" s="3"/>
      <c r="R100" s="3"/>
      <c r="S100" s="3"/>
      <c r="T100" s="3"/>
      <c r="U100" s="3"/>
      <c r="V100" s="3"/>
      <c r="W100" s="3"/>
      <c r="X100" s="3"/>
      <c r="Y100" s="3"/>
      <c r="Z100" s="3"/>
    </row>
    <row r="101" spans="1:26">
      <c r="A101" s="131">
        <v>100</v>
      </c>
      <c r="B101" s="74" t="s">
        <v>1626</v>
      </c>
      <c r="C101" s="347">
        <v>42059</v>
      </c>
      <c r="D101" s="113" t="s">
        <v>21</v>
      </c>
      <c r="E101" s="45"/>
      <c r="F101" s="126"/>
      <c r="G101" s="3"/>
      <c r="H101" s="3"/>
      <c r="I101" s="3"/>
      <c r="J101" s="3"/>
      <c r="K101" s="3"/>
      <c r="L101" s="3"/>
      <c r="M101" s="3"/>
      <c r="N101" s="3"/>
      <c r="O101" s="3"/>
      <c r="P101" s="3"/>
      <c r="Q101" s="3"/>
      <c r="R101" s="3"/>
      <c r="S101" s="3"/>
      <c r="T101" s="3"/>
      <c r="U101" s="3"/>
      <c r="V101" s="3"/>
      <c r="W101" s="3"/>
      <c r="X101" s="3"/>
      <c r="Y101" s="3"/>
      <c r="Z101" s="3"/>
    </row>
    <row r="102" spans="1:26">
      <c r="A102" s="131">
        <v>101</v>
      </c>
      <c r="B102" s="2" t="s">
        <v>1627</v>
      </c>
      <c r="C102" s="347">
        <v>42061</v>
      </c>
      <c r="D102" s="113" t="s">
        <v>1628</v>
      </c>
      <c r="E102" s="45"/>
      <c r="F102" s="126"/>
      <c r="G102" s="3"/>
      <c r="H102" s="3"/>
      <c r="I102" s="3"/>
      <c r="J102" s="3"/>
      <c r="K102" s="3"/>
      <c r="L102" s="3"/>
      <c r="M102" s="3"/>
      <c r="N102" s="3"/>
      <c r="O102" s="3"/>
      <c r="P102" s="3"/>
      <c r="Q102" s="3"/>
      <c r="R102" s="3"/>
      <c r="S102" s="3"/>
      <c r="T102" s="3"/>
      <c r="U102" s="3"/>
      <c r="V102" s="3"/>
      <c r="W102" s="3"/>
      <c r="X102" s="3"/>
      <c r="Y102" s="3"/>
      <c r="Z102" s="3"/>
    </row>
    <row r="103" spans="1:26">
      <c r="A103" s="131">
        <v>102</v>
      </c>
      <c r="B103" s="74" t="s">
        <v>1629</v>
      </c>
      <c r="C103" s="347">
        <v>42081</v>
      </c>
      <c r="D103" s="113" t="s">
        <v>316</v>
      </c>
      <c r="E103" s="45"/>
      <c r="F103" s="126"/>
      <c r="G103" s="3"/>
      <c r="H103" s="3"/>
      <c r="I103" s="3"/>
      <c r="J103" s="3"/>
      <c r="K103" s="3"/>
      <c r="L103" s="3"/>
      <c r="M103" s="3"/>
      <c r="N103" s="3"/>
      <c r="O103" s="3"/>
      <c r="P103" s="3"/>
      <c r="Q103" s="3"/>
      <c r="R103" s="3"/>
      <c r="S103" s="3"/>
      <c r="T103" s="3"/>
      <c r="U103" s="3"/>
      <c r="V103" s="3"/>
      <c r="W103" s="3"/>
      <c r="X103" s="3"/>
      <c r="Y103" s="3"/>
      <c r="Z103" s="3"/>
    </row>
    <row r="104" spans="1:26">
      <c r="A104" s="131">
        <v>103</v>
      </c>
      <c r="B104" s="74" t="s">
        <v>1630</v>
      </c>
      <c r="C104" s="347">
        <v>42083</v>
      </c>
      <c r="D104" s="113" t="s">
        <v>1631</v>
      </c>
      <c r="E104" s="45"/>
      <c r="F104" s="126"/>
      <c r="G104" s="3"/>
      <c r="H104" s="3"/>
      <c r="I104" s="3"/>
      <c r="J104" s="3"/>
      <c r="K104" s="3"/>
      <c r="L104" s="3"/>
      <c r="M104" s="3"/>
      <c r="N104" s="3"/>
      <c r="O104" s="3"/>
      <c r="P104" s="3"/>
      <c r="Q104" s="3"/>
      <c r="R104" s="3"/>
      <c r="S104" s="3"/>
      <c r="T104" s="3"/>
      <c r="U104" s="3"/>
      <c r="V104" s="3"/>
      <c r="W104" s="3"/>
      <c r="X104" s="3"/>
      <c r="Y104" s="3"/>
      <c r="Z104" s="3"/>
    </row>
    <row r="105" spans="1:26">
      <c r="A105" s="131">
        <v>104</v>
      </c>
      <c r="B105" s="74" t="s">
        <v>1436</v>
      </c>
      <c r="C105" s="347">
        <v>42135</v>
      </c>
      <c r="D105" s="113" t="s">
        <v>1438</v>
      </c>
      <c r="E105" s="45"/>
      <c r="F105" s="126"/>
      <c r="G105" s="3"/>
      <c r="H105" s="3"/>
      <c r="I105" s="3"/>
      <c r="J105" s="3"/>
      <c r="K105" s="3"/>
      <c r="L105" s="3"/>
      <c r="M105" s="3"/>
      <c r="N105" s="3"/>
      <c r="O105" s="3"/>
      <c r="P105" s="3"/>
      <c r="Q105" s="3"/>
      <c r="R105" s="3"/>
      <c r="S105" s="3"/>
      <c r="T105" s="3"/>
      <c r="U105" s="3"/>
      <c r="V105" s="3"/>
      <c r="W105" s="3"/>
      <c r="X105" s="3"/>
      <c r="Y105" s="3"/>
      <c r="Z105" s="3"/>
    </row>
    <row r="106" spans="1:26">
      <c r="A106" s="131">
        <v>105</v>
      </c>
      <c r="B106" s="74" t="s">
        <v>1632</v>
      </c>
      <c r="C106" s="347">
        <v>42137</v>
      </c>
      <c r="D106" s="113" t="s">
        <v>1416</v>
      </c>
      <c r="E106" s="45"/>
      <c r="F106" s="126"/>
      <c r="G106" s="3"/>
      <c r="H106" s="3"/>
      <c r="I106" s="3"/>
      <c r="J106" s="3"/>
      <c r="K106" s="3"/>
      <c r="L106" s="3"/>
      <c r="M106" s="3"/>
      <c r="N106" s="3"/>
      <c r="O106" s="3"/>
      <c r="P106" s="3"/>
      <c r="Q106" s="3"/>
      <c r="R106" s="3"/>
      <c r="S106" s="3"/>
      <c r="T106" s="3"/>
      <c r="U106" s="3"/>
      <c r="V106" s="3"/>
      <c r="W106" s="3"/>
      <c r="X106" s="3"/>
      <c r="Y106" s="3"/>
      <c r="Z106" s="3"/>
    </row>
    <row r="107" spans="1:26" ht="31.2" customHeight="1">
      <c r="A107" s="131">
        <v>106</v>
      </c>
      <c r="B107" s="74" t="s">
        <v>1633</v>
      </c>
      <c r="C107" s="164">
        <v>42151</v>
      </c>
      <c r="D107" s="113" t="s">
        <v>1634</v>
      </c>
      <c r="E107" s="45"/>
      <c r="F107" s="126"/>
      <c r="G107" s="3"/>
      <c r="H107" s="3"/>
      <c r="I107" s="3"/>
      <c r="J107" s="3"/>
      <c r="K107" s="3"/>
      <c r="L107" s="3"/>
      <c r="M107" s="3"/>
      <c r="N107" s="3"/>
      <c r="O107" s="3"/>
      <c r="P107" s="3"/>
      <c r="Q107" s="3"/>
      <c r="R107" s="3"/>
      <c r="S107" s="3"/>
      <c r="T107" s="3"/>
      <c r="U107" s="3"/>
      <c r="V107" s="3"/>
      <c r="W107" s="3"/>
      <c r="X107" s="3"/>
      <c r="Y107" s="3"/>
      <c r="Z107" s="3"/>
    </row>
    <row r="108" spans="1:26">
      <c r="A108" s="131">
        <v>107</v>
      </c>
      <c r="B108" s="74" t="s">
        <v>1434</v>
      </c>
      <c r="C108" s="347">
        <v>42163</v>
      </c>
      <c r="D108" s="113" t="s">
        <v>1635</v>
      </c>
      <c r="E108" s="45"/>
      <c r="F108" s="126"/>
      <c r="G108" s="3"/>
      <c r="H108" s="3"/>
      <c r="I108" s="3"/>
      <c r="J108" s="3"/>
      <c r="K108" s="3"/>
      <c r="L108" s="3"/>
      <c r="M108" s="3"/>
      <c r="N108" s="3"/>
      <c r="O108" s="3"/>
      <c r="P108" s="3"/>
      <c r="Q108" s="3"/>
      <c r="R108" s="3"/>
      <c r="S108" s="3"/>
      <c r="T108" s="3"/>
      <c r="U108" s="3"/>
      <c r="V108" s="3"/>
      <c r="W108" s="3"/>
      <c r="X108" s="3"/>
      <c r="Y108" s="3"/>
      <c r="Z108" s="3"/>
    </row>
    <row r="109" spans="1:26">
      <c r="A109" s="131">
        <v>108</v>
      </c>
      <c r="B109" s="74" t="s">
        <v>1636</v>
      </c>
      <c r="C109" s="347">
        <v>42165</v>
      </c>
      <c r="D109" s="113" t="s">
        <v>1637</v>
      </c>
      <c r="E109" s="45"/>
      <c r="F109" s="126"/>
      <c r="G109" s="3"/>
      <c r="H109" s="3"/>
      <c r="I109" s="3"/>
      <c r="J109" s="3"/>
      <c r="K109" s="3"/>
      <c r="L109" s="3"/>
      <c r="M109" s="3"/>
      <c r="N109" s="3"/>
      <c r="O109" s="3"/>
      <c r="P109" s="3"/>
      <c r="Q109" s="3"/>
      <c r="R109" s="3"/>
      <c r="S109" s="3"/>
      <c r="T109" s="3"/>
      <c r="U109" s="3"/>
      <c r="V109" s="3"/>
      <c r="W109" s="3"/>
      <c r="X109" s="3"/>
      <c r="Y109" s="3"/>
      <c r="Z109" s="3"/>
    </row>
    <row r="110" spans="1:26">
      <c r="A110" s="131">
        <v>109</v>
      </c>
      <c r="B110" s="74" t="s">
        <v>1638</v>
      </c>
      <c r="C110" s="347">
        <v>42172</v>
      </c>
      <c r="D110" s="113" t="s">
        <v>1637</v>
      </c>
      <c r="E110" s="45"/>
      <c r="F110" s="126"/>
      <c r="G110" s="3"/>
      <c r="H110" s="3"/>
      <c r="I110" s="3"/>
      <c r="J110" s="3"/>
      <c r="K110" s="3"/>
      <c r="L110" s="3"/>
      <c r="M110" s="3"/>
      <c r="N110" s="3"/>
      <c r="O110" s="3"/>
      <c r="P110" s="3"/>
      <c r="Q110" s="3"/>
      <c r="R110" s="3"/>
      <c r="S110" s="3"/>
      <c r="T110" s="3"/>
      <c r="U110" s="3"/>
      <c r="V110" s="3"/>
      <c r="W110" s="3"/>
      <c r="X110" s="3"/>
      <c r="Y110" s="3"/>
      <c r="Z110" s="3"/>
    </row>
    <row r="111" spans="1:26">
      <c r="A111" s="131">
        <v>110</v>
      </c>
      <c r="B111" s="74" t="s">
        <v>1639</v>
      </c>
      <c r="C111" s="347">
        <v>42179</v>
      </c>
      <c r="D111" s="113" t="s">
        <v>1640</v>
      </c>
      <c r="E111" s="45"/>
      <c r="F111" s="126"/>
      <c r="G111" s="3"/>
      <c r="H111" s="3"/>
      <c r="I111" s="3"/>
      <c r="J111" s="3"/>
      <c r="K111" s="3"/>
      <c r="L111" s="3"/>
      <c r="M111" s="3"/>
      <c r="N111" s="3"/>
      <c r="O111" s="3"/>
      <c r="P111" s="3"/>
      <c r="Q111" s="3"/>
      <c r="R111" s="3"/>
      <c r="S111" s="3"/>
      <c r="T111" s="3"/>
      <c r="U111" s="3"/>
      <c r="V111" s="3"/>
      <c r="W111" s="3"/>
      <c r="X111" s="3"/>
      <c r="Y111" s="3"/>
      <c r="Z111" s="3"/>
    </row>
    <row r="112" spans="1:26">
      <c r="A112" s="131">
        <v>111</v>
      </c>
      <c r="B112" s="74" t="s">
        <v>1641</v>
      </c>
      <c r="C112" s="347">
        <v>42179</v>
      </c>
      <c r="D112" s="113" t="s">
        <v>1416</v>
      </c>
      <c r="E112" s="45"/>
      <c r="F112" s="126"/>
      <c r="G112" s="3"/>
      <c r="H112" s="3"/>
      <c r="I112" s="3"/>
      <c r="J112" s="3"/>
      <c r="K112" s="3"/>
      <c r="L112" s="3"/>
      <c r="M112" s="3"/>
      <c r="N112" s="3"/>
      <c r="O112" s="3"/>
      <c r="P112" s="3"/>
      <c r="Q112" s="3"/>
      <c r="R112" s="3"/>
      <c r="S112" s="3"/>
      <c r="T112" s="3"/>
      <c r="U112" s="3"/>
      <c r="V112" s="3"/>
      <c r="W112" s="3"/>
      <c r="X112" s="3"/>
      <c r="Y112" s="3"/>
      <c r="Z112" s="3"/>
    </row>
    <row r="113" spans="1:26">
      <c r="A113" s="131">
        <v>112</v>
      </c>
      <c r="B113" s="129" t="s">
        <v>1642</v>
      </c>
      <c r="C113" s="347">
        <v>42181</v>
      </c>
      <c r="D113" s="113" t="s">
        <v>1416</v>
      </c>
      <c r="E113" s="45"/>
      <c r="F113" s="126"/>
      <c r="G113" s="3"/>
      <c r="H113" s="3"/>
      <c r="I113" s="3"/>
      <c r="J113" s="3"/>
      <c r="K113" s="3"/>
      <c r="L113" s="3"/>
      <c r="M113" s="3"/>
      <c r="N113" s="3"/>
      <c r="O113" s="3"/>
      <c r="P113" s="3"/>
      <c r="Q113" s="3"/>
      <c r="R113" s="3"/>
      <c r="S113" s="3"/>
      <c r="T113" s="3"/>
      <c r="U113" s="3"/>
      <c r="V113" s="3"/>
      <c r="W113" s="3"/>
      <c r="X113" s="3"/>
      <c r="Y113" s="3"/>
      <c r="Z113" s="3"/>
    </row>
    <row r="114" spans="1:26">
      <c r="A114" s="131">
        <v>113</v>
      </c>
      <c r="B114" s="74" t="s">
        <v>1643</v>
      </c>
      <c r="C114" s="347">
        <v>42214</v>
      </c>
      <c r="D114" s="113" t="s">
        <v>1644</v>
      </c>
      <c r="E114" s="45"/>
      <c r="F114" s="126"/>
      <c r="G114" s="3"/>
      <c r="H114" s="3"/>
      <c r="I114" s="3"/>
      <c r="J114" s="3"/>
      <c r="K114" s="3"/>
      <c r="L114" s="3"/>
      <c r="M114" s="3"/>
      <c r="N114" s="3"/>
      <c r="O114" s="3"/>
      <c r="P114" s="3"/>
      <c r="Q114" s="3"/>
      <c r="R114" s="3"/>
      <c r="S114" s="3"/>
      <c r="T114" s="3"/>
      <c r="U114" s="3"/>
      <c r="V114" s="3"/>
      <c r="W114" s="3"/>
      <c r="X114" s="3"/>
      <c r="Y114" s="3"/>
      <c r="Z114" s="3"/>
    </row>
    <row r="115" spans="1:26">
      <c r="A115" s="131">
        <v>114</v>
      </c>
      <c r="B115" s="74" t="s">
        <v>1645</v>
      </c>
      <c r="C115" s="347">
        <v>42236</v>
      </c>
      <c r="D115" s="113" t="s">
        <v>1646</v>
      </c>
      <c r="E115" s="45"/>
      <c r="F115" s="126"/>
      <c r="G115" s="3"/>
      <c r="H115" s="3"/>
      <c r="I115" s="3"/>
      <c r="J115" s="3"/>
      <c r="K115" s="3"/>
      <c r="L115" s="3"/>
      <c r="M115" s="3"/>
      <c r="N115" s="3"/>
      <c r="O115" s="3"/>
      <c r="P115" s="3"/>
      <c r="Q115" s="3"/>
      <c r="R115" s="3"/>
      <c r="S115" s="3"/>
      <c r="T115" s="3"/>
      <c r="U115" s="3"/>
      <c r="V115" s="3"/>
      <c r="W115" s="3"/>
      <c r="X115" s="3"/>
      <c r="Y115" s="3"/>
      <c r="Z115" s="3"/>
    </row>
    <row r="116" spans="1:26">
      <c r="A116" s="131">
        <v>115</v>
      </c>
      <c r="B116" s="74" t="s">
        <v>1647</v>
      </c>
      <c r="C116" s="347">
        <v>42251</v>
      </c>
      <c r="D116" s="113" t="s">
        <v>1648</v>
      </c>
      <c r="E116" s="45"/>
      <c r="F116" s="126"/>
      <c r="G116" s="3"/>
      <c r="H116" s="3"/>
      <c r="I116" s="3"/>
      <c r="J116" s="3"/>
      <c r="K116" s="3"/>
      <c r="L116" s="3"/>
      <c r="M116" s="3"/>
      <c r="N116" s="3"/>
      <c r="O116" s="3"/>
      <c r="P116" s="3"/>
      <c r="Q116" s="3"/>
      <c r="R116" s="3"/>
      <c r="S116" s="3"/>
      <c r="T116" s="3"/>
      <c r="U116" s="3"/>
      <c r="V116" s="3"/>
      <c r="W116" s="3"/>
      <c r="X116" s="3"/>
      <c r="Y116" s="3"/>
      <c r="Z116" s="3"/>
    </row>
    <row r="117" spans="1:26">
      <c r="A117" s="131">
        <v>116</v>
      </c>
      <c r="B117" s="74" t="s">
        <v>1649</v>
      </c>
      <c r="C117" s="347">
        <v>42257</v>
      </c>
      <c r="D117" s="113" t="s">
        <v>4903</v>
      </c>
      <c r="E117" s="45"/>
      <c r="F117" s="126"/>
      <c r="G117" s="3"/>
      <c r="H117" s="3"/>
      <c r="I117" s="3"/>
      <c r="J117" s="3"/>
      <c r="K117" s="3"/>
      <c r="L117" s="3"/>
      <c r="M117" s="3"/>
      <c r="N117" s="3"/>
      <c r="O117" s="3"/>
      <c r="P117" s="3"/>
      <c r="Q117" s="3"/>
      <c r="R117" s="3"/>
      <c r="S117" s="3"/>
      <c r="T117" s="3"/>
      <c r="U117" s="3"/>
      <c r="V117" s="3"/>
      <c r="W117" s="3"/>
      <c r="X117" s="3"/>
      <c r="Y117" s="3"/>
      <c r="Z117" s="3"/>
    </row>
    <row r="118" spans="1:26">
      <c r="A118" s="131">
        <v>117</v>
      </c>
      <c r="B118" s="74" t="s">
        <v>1650</v>
      </c>
      <c r="C118" s="347">
        <v>42262</v>
      </c>
      <c r="D118" s="113" t="s">
        <v>4903</v>
      </c>
      <c r="E118" s="45"/>
      <c r="F118" s="126"/>
      <c r="G118" s="3"/>
      <c r="H118" s="3"/>
      <c r="I118" s="3"/>
      <c r="J118" s="3"/>
      <c r="K118" s="3"/>
      <c r="L118" s="3"/>
      <c r="M118" s="3"/>
      <c r="N118" s="3"/>
      <c r="O118" s="3"/>
      <c r="P118" s="3"/>
      <c r="Q118" s="3"/>
      <c r="R118" s="3"/>
      <c r="S118" s="3"/>
      <c r="T118" s="3"/>
      <c r="U118" s="3"/>
      <c r="V118" s="3"/>
      <c r="W118" s="3"/>
      <c r="X118" s="3"/>
      <c r="Y118" s="3"/>
      <c r="Z118" s="3"/>
    </row>
    <row r="119" spans="1:26">
      <c r="A119" s="131">
        <v>118</v>
      </c>
      <c r="B119" s="74" t="s">
        <v>1651</v>
      </c>
      <c r="C119" s="347">
        <v>42270</v>
      </c>
      <c r="D119" s="113" t="s">
        <v>1652</v>
      </c>
      <c r="E119" s="45"/>
      <c r="F119" s="126"/>
      <c r="G119" s="3"/>
      <c r="H119" s="3"/>
      <c r="I119" s="3"/>
      <c r="J119" s="3"/>
      <c r="K119" s="3"/>
      <c r="L119" s="3"/>
      <c r="M119" s="3"/>
      <c r="N119" s="3"/>
      <c r="O119" s="3"/>
      <c r="P119" s="3"/>
      <c r="Q119" s="3"/>
      <c r="R119" s="3"/>
      <c r="S119" s="3"/>
      <c r="T119" s="3"/>
      <c r="U119" s="3"/>
      <c r="V119" s="3"/>
      <c r="W119" s="3"/>
      <c r="X119" s="3"/>
      <c r="Y119" s="3"/>
      <c r="Z119" s="3"/>
    </row>
    <row r="120" spans="1:26">
      <c r="A120" s="131">
        <v>119</v>
      </c>
      <c r="B120" s="74" t="s">
        <v>1653</v>
      </c>
      <c r="C120" s="347">
        <v>42278</v>
      </c>
      <c r="D120" s="113" t="s">
        <v>1416</v>
      </c>
      <c r="E120" s="45"/>
      <c r="F120" s="126"/>
      <c r="G120" s="3"/>
      <c r="H120" s="3"/>
      <c r="I120" s="3"/>
      <c r="J120" s="3"/>
      <c r="K120" s="3"/>
      <c r="L120" s="3"/>
      <c r="M120" s="3"/>
      <c r="N120" s="3"/>
      <c r="O120" s="3"/>
      <c r="P120" s="3"/>
      <c r="Q120" s="3"/>
      <c r="R120" s="3"/>
      <c r="S120" s="3"/>
      <c r="T120" s="3"/>
      <c r="U120" s="3"/>
      <c r="V120" s="3"/>
      <c r="W120" s="3"/>
      <c r="X120" s="3"/>
      <c r="Y120" s="3"/>
      <c r="Z120" s="3"/>
    </row>
    <row r="121" spans="1:26">
      <c r="A121" s="131">
        <v>120</v>
      </c>
      <c r="B121" s="74" t="s">
        <v>1654</v>
      </c>
      <c r="C121" s="347">
        <v>42278</v>
      </c>
      <c r="D121" s="113" t="s">
        <v>1593</v>
      </c>
      <c r="E121" s="45"/>
      <c r="F121" s="126"/>
      <c r="G121" s="3"/>
      <c r="H121" s="3"/>
      <c r="I121" s="3"/>
      <c r="J121" s="3"/>
      <c r="K121" s="3"/>
      <c r="L121" s="3"/>
      <c r="M121" s="3"/>
      <c r="N121" s="3"/>
      <c r="O121" s="3"/>
      <c r="P121" s="3"/>
      <c r="Q121" s="3"/>
      <c r="R121" s="3"/>
      <c r="S121" s="3"/>
      <c r="T121" s="3"/>
      <c r="U121" s="3"/>
      <c r="V121" s="3"/>
      <c r="W121" s="3"/>
      <c r="X121" s="3"/>
      <c r="Y121" s="3"/>
      <c r="Z121" s="3"/>
    </row>
    <row r="122" spans="1:26">
      <c r="A122" s="131">
        <v>121</v>
      </c>
      <c r="B122" s="74" t="s">
        <v>1655</v>
      </c>
      <c r="C122" s="347">
        <v>42290</v>
      </c>
      <c r="D122" s="113" t="s">
        <v>1416</v>
      </c>
      <c r="E122" s="45"/>
      <c r="F122" s="126"/>
      <c r="G122" s="3"/>
      <c r="H122" s="3"/>
      <c r="I122" s="3"/>
      <c r="J122" s="3"/>
      <c r="K122" s="3"/>
      <c r="L122" s="3"/>
      <c r="M122" s="3"/>
      <c r="N122" s="3"/>
      <c r="O122" s="3"/>
      <c r="P122" s="3"/>
      <c r="Q122" s="3"/>
      <c r="R122" s="3"/>
      <c r="S122" s="3"/>
      <c r="T122" s="3"/>
      <c r="U122" s="3"/>
      <c r="V122" s="3"/>
      <c r="W122" s="3"/>
      <c r="X122" s="3"/>
      <c r="Y122" s="3"/>
      <c r="Z122" s="3"/>
    </row>
    <row r="123" spans="1:26">
      <c r="A123" s="131">
        <v>122</v>
      </c>
      <c r="B123" s="74" t="s">
        <v>1442</v>
      </c>
      <c r="C123" s="347">
        <v>42292</v>
      </c>
      <c r="D123" s="113" t="s">
        <v>1656</v>
      </c>
      <c r="E123" s="45"/>
      <c r="F123" s="126"/>
      <c r="G123" s="3"/>
      <c r="H123" s="3"/>
      <c r="I123" s="3"/>
      <c r="J123" s="3"/>
      <c r="K123" s="3"/>
      <c r="L123" s="3"/>
      <c r="M123" s="3"/>
      <c r="N123" s="3"/>
      <c r="O123" s="3"/>
      <c r="P123" s="3"/>
      <c r="Q123" s="3"/>
      <c r="R123" s="3"/>
      <c r="S123" s="3"/>
      <c r="T123" s="3"/>
      <c r="U123" s="3"/>
      <c r="V123" s="3"/>
      <c r="W123" s="3"/>
      <c r="X123" s="3"/>
      <c r="Y123" s="3"/>
      <c r="Z123" s="3"/>
    </row>
    <row r="124" spans="1:26">
      <c r="A124" s="131">
        <v>123</v>
      </c>
      <c r="B124" s="74" t="s">
        <v>1657</v>
      </c>
      <c r="C124" s="347">
        <v>42297</v>
      </c>
      <c r="D124" s="113" t="s">
        <v>4902</v>
      </c>
      <c r="E124" s="45"/>
      <c r="F124" s="126"/>
      <c r="G124" s="3"/>
      <c r="H124" s="3"/>
      <c r="I124" s="3"/>
      <c r="J124" s="3"/>
      <c r="K124" s="3"/>
      <c r="L124" s="3"/>
      <c r="M124" s="3"/>
      <c r="N124" s="3"/>
      <c r="O124" s="3"/>
      <c r="P124" s="3"/>
      <c r="Q124" s="3"/>
      <c r="R124" s="3"/>
      <c r="S124" s="3"/>
      <c r="T124" s="3"/>
      <c r="U124" s="3"/>
      <c r="V124" s="3"/>
      <c r="W124" s="3"/>
      <c r="X124" s="3"/>
      <c r="Y124" s="3"/>
      <c r="Z124" s="3"/>
    </row>
    <row r="125" spans="1:26">
      <c r="A125" s="131">
        <v>124</v>
      </c>
      <c r="B125" s="74" t="s">
        <v>1658</v>
      </c>
      <c r="C125" s="347">
        <v>42300</v>
      </c>
      <c r="D125" s="113" t="s">
        <v>1659</v>
      </c>
      <c r="E125" s="45"/>
      <c r="F125" s="126"/>
      <c r="G125" s="3"/>
      <c r="H125" s="3"/>
      <c r="I125" s="3"/>
      <c r="J125" s="3"/>
      <c r="K125" s="3"/>
      <c r="L125" s="3"/>
      <c r="M125" s="3"/>
      <c r="N125" s="3"/>
      <c r="O125" s="3"/>
      <c r="P125" s="3"/>
      <c r="Q125" s="3"/>
      <c r="R125" s="3"/>
      <c r="S125" s="3"/>
      <c r="T125" s="3"/>
      <c r="U125" s="3"/>
      <c r="V125" s="3"/>
      <c r="W125" s="3"/>
      <c r="X125" s="3"/>
      <c r="Y125" s="3"/>
      <c r="Z125" s="3"/>
    </row>
    <row r="126" spans="1:26">
      <c r="A126" s="131">
        <v>125</v>
      </c>
      <c r="B126" s="74" t="s">
        <v>1660</v>
      </c>
      <c r="C126" s="347">
        <v>42303</v>
      </c>
      <c r="D126" s="113" t="s">
        <v>1661</v>
      </c>
      <c r="E126" s="45"/>
      <c r="F126" s="126"/>
      <c r="G126" s="3"/>
      <c r="H126" s="3"/>
      <c r="I126" s="3"/>
      <c r="J126" s="3"/>
      <c r="K126" s="3"/>
      <c r="L126" s="3"/>
      <c r="M126" s="3"/>
      <c r="N126" s="3"/>
      <c r="O126" s="3"/>
      <c r="P126" s="3"/>
      <c r="Q126" s="3"/>
      <c r="R126" s="3"/>
      <c r="S126" s="3"/>
      <c r="T126" s="3"/>
      <c r="U126" s="3"/>
      <c r="V126" s="3"/>
      <c r="W126" s="3"/>
      <c r="X126" s="3"/>
      <c r="Y126" s="3"/>
      <c r="Z126" s="3"/>
    </row>
    <row r="127" spans="1:26">
      <c r="A127" s="131">
        <v>126</v>
      </c>
      <c r="B127" s="74" t="s">
        <v>1662</v>
      </c>
      <c r="C127" s="347">
        <v>42313</v>
      </c>
      <c r="D127" s="113" t="s">
        <v>1663</v>
      </c>
      <c r="E127" s="45"/>
      <c r="F127" s="126"/>
      <c r="G127" s="3"/>
      <c r="H127" s="3"/>
      <c r="I127" s="3"/>
      <c r="J127" s="3"/>
      <c r="K127" s="3"/>
      <c r="L127" s="3"/>
      <c r="M127" s="3"/>
      <c r="N127" s="3"/>
      <c r="O127" s="3"/>
      <c r="P127" s="3"/>
      <c r="Q127" s="3"/>
      <c r="R127" s="3"/>
      <c r="S127" s="3"/>
      <c r="T127" s="3"/>
      <c r="U127" s="3"/>
      <c r="V127" s="3"/>
      <c r="W127" s="3"/>
      <c r="X127" s="3"/>
      <c r="Y127" s="3"/>
      <c r="Z127" s="3"/>
    </row>
    <row r="128" spans="1:26">
      <c r="A128" s="131">
        <v>127</v>
      </c>
      <c r="B128" s="74" t="s">
        <v>1664</v>
      </c>
      <c r="C128" s="347">
        <v>42332</v>
      </c>
      <c r="D128" s="113" t="s">
        <v>1665</v>
      </c>
      <c r="E128" s="45"/>
      <c r="F128" s="126"/>
      <c r="G128" s="3"/>
      <c r="H128" s="3"/>
      <c r="I128" s="3"/>
      <c r="J128" s="3"/>
      <c r="K128" s="3"/>
      <c r="L128" s="3"/>
      <c r="M128" s="3"/>
      <c r="N128" s="3"/>
      <c r="O128" s="3"/>
      <c r="P128" s="3"/>
      <c r="Q128" s="3"/>
      <c r="R128" s="3"/>
      <c r="S128" s="3"/>
      <c r="T128" s="3"/>
      <c r="U128" s="3"/>
      <c r="V128" s="3"/>
      <c r="W128" s="3"/>
      <c r="X128" s="3"/>
      <c r="Y128" s="3"/>
      <c r="Z128" s="3"/>
    </row>
    <row r="129" spans="1:26">
      <c r="A129" s="131">
        <v>128</v>
      </c>
      <c r="B129" s="74" t="s">
        <v>1666</v>
      </c>
      <c r="C129" s="347">
        <v>42360</v>
      </c>
      <c r="D129" s="113" t="s">
        <v>1667</v>
      </c>
      <c r="E129" s="45"/>
      <c r="F129" s="126"/>
      <c r="G129" s="3"/>
      <c r="H129" s="3"/>
      <c r="I129" s="3"/>
      <c r="J129" s="3"/>
      <c r="K129" s="3"/>
      <c r="L129" s="3"/>
      <c r="M129" s="3"/>
      <c r="N129" s="3"/>
      <c r="O129" s="3"/>
      <c r="P129" s="3"/>
      <c r="Q129" s="3"/>
      <c r="R129" s="3"/>
      <c r="S129" s="3"/>
      <c r="T129" s="3"/>
      <c r="U129" s="3"/>
      <c r="V129" s="3"/>
      <c r="W129" s="3"/>
      <c r="X129" s="3"/>
      <c r="Y129" s="3"/>
      <c r="Z129" s="3"/>
    </row>
    <row r="130" spans="1:26">
      <c r="A130" s="131">
        <v>129</v>
      </c>
      <c r="B130" s="74" t="s">
        <v>1668</v>
      </c>
      <c r="C130" s="347">
        <v>42384</v>
      </c>
      <c r="D130" s="113" t="s">
        <v>21</v>
      </c>
      <c r="E130" s="45"/>
      <c r="F130" s="126"/>
      <c r="G130" s="3"/>
      <c r="H130" s="3"/>
      <c r="I130" s="3"/>
      <c r="J130" s="3"/>
      <c r="K130" s="3"/>
      <c r="L130" s="3"/>
      <c r="M130" s="3"/>
      <c r="N130" s="3"/>
      <c r="O130" s="3"/>
      <c r="P130" s="3"/>
      <c r="Q130" s="3"/>
      <c r="R130" s="3"/>
      <c r="S130" s="3"/>
      <c r="T130" s="3"/>
      <c r="U130" s="3"/>
      <c r="V130" s="3"/>
      <c r="W130" s="3"/>
      <c r="X130" s="3"/>
      <c r="Y130" s="3"/>
      <c r="Z130" s="3"/>
    </row>
    <row r="131" spans="1:26">
      <c r="A131" s="131">
        <v>130</v>
      </c>
      <c r="B131" s="74" t="s">
        <v>1669</v>
      </c>
      <c r="C131" s="347">
        <v>42387</v>
      </c>
      <c r="D131" s="113" t="s">
        <v>21</v>
      </c>
      <c r="E131" s="45"/>
      <c r="F131" s="126"/>
      <c r="G131" s="3"/>
      <c r="H131" s="3"/>
      <c r="I131" s="3"/>
      <c r="J131" s="3"/>
      <c r="K131" s="3"/>
      <c r="L131" s="3"/>
      <c r="M131" s="3"/>
      <c r="N131" s="3"/>
      <c r="O131" s="3"/>
      <c r="P131" s="3"/>
      <c r="Q131" s="3"/>
      <c r="R131" s="3"/>
      <c r="S131" s="3"/>
      <c r="T131" s="3"/>
      <c r="U131" s="3"/>
      <c r="V131" s="3"/>
      <c r="W131" s="3"/>
      <c r="X131" s="3"/>
      <c r="Y131" s="3"/>
      <c r="Z131" s="3"/>
    </row>
    <row r="132" spans="1:26">
      <c r="A132" s="131">
        <v>131</v>
      </c>
      <c r="B132" s="74" t="s">
        <v>1670</v>
      </c>
      <c r="C132" s="347">
        <v>42404</v>
      </c>
      <c r="D132" s="113" t="s">
        <v>1431</v>
      </c>
      <c r="E132" s="45"/>
      <c r="F132" s="126"/>
      <c r="G132" s="3"/>
      <c r="H132" s="3"/>
      <c r="I132" s="3"/>
      <c r="J132" s="3"/>
      <c r="K132" s="3"/>
      <c r="L132" s="3"/>
      <c r="M132" s="3"/>
      <c r="N132" s="3"/>
      <c r="O132" s="3"/>
      <c r="P132" s="3"/>
      <c r="Q132" s="3"/>
      <c r="R132" s="3"/>
      <c r="S132" s="3"/>
      <c r="T132" s="3"/>
      <c r="U132" s="3"/>
      <c r="V132" s="3"/>
      <c r="W132" s="3"/>
      <c r="X132" s="3"/>
      <c r="Y132" s="3"/>
      <c r="Z132" s="3"/>
    </row>
    <row r="133" spans="1:26">
      <c r="A133" s="131">
        <v>132</v>
      </c>
      <c r="B133" s="74" t="s">
        <v>1671</v>
      </c>
      <c r="C133" s="347">
        <v>42410</v>
      </c>
      <c r="D133" s="113" t="s">
        <v>1431</v>
      </c>
      <c r="E133" s="45"/>
      <c r="F133" s="126"/>
      <c r="G133" s="3"/>
      <c r="H133" s="3"/>
      <c r="I133" s="3"/>
      <c r="J133" s="3"/>
      <c r="K133" s="3"/>
      <c r="L133" s="3"/>
      <c r="M133" s="3"/>
      <c r="N133" s="3"/>
      <c r="O133" s="3"/>
      <c r="P133" s="3"/>
      <c r="Q133" s="3"/>
      <c r="R133" s="3"/>
      <c r="S133" s="3"/>
      <c r="T133" s="3"/>
      <c r="U133" s="3"/>
      <c r="V133" s="3"/>
      <c r="W133" s="3"/>
      <c r="X133" s="3"/>
      <c r="Y133" s="3"/>
      <c r="Z133" s="3"/>
    </row>
    <row r="134" spans="1:26">
      <c r="A134" s="131">
        <v>133</v>
      </c>
      <c r="B134" s="74" t="s">
        <v>1429</v>
      </c>
      <c r="C134" s="347">
        <v>42410</v>
      </c>
      <c r="D134" s="113" t="s">
        <v>1431</v>
      </c>
      <c r="E134" s="45"/>
      <c r="F134" s="126"/>
      <c r="G134" s="3"/>
      <c r="H134" s="3"/>
      <c r="I134" s="3"/>
      <c r="J134" s="3"/>
      <c r="K134" s="3"/>
      <c r="L134" s="3"/>
      <c r="M134" s="3"/>
      <c r="N134" s="3"/>
      <c r="O134" s="3"/>
      <c r="P134" s="3"/>
      <c r="Q134" s="3"/>
      <c r="R134" s="3"/>
      <c r="S134" s="3"/>
      <c r="T134" s="3"/>
      <c r="U134" s="3"/>
      <c r="V134" s="3"/>
      <c r="W134" s="3"/>
      <c r="X134" s="3"/>
      <c r="Y134" s="3"/>
      <c r="Z134" s="3"/>
    </row>
    <row r="135" spans="1:26">
      <c r="A135" s="131">
        <v>134</v>
      </c>
      <c r="B135" s="74" t="s">
        <v>1672</v>
      </c>
      <c r="C135" s="347">
        <v>42419</v>
      </c>
      <c r="D135" s="113" t="s">
        <v>1673</v>
      </c>
      <c r="E135" s="45"/>
      <c r="F135" s="126"/>
      <c r="G135" s="3"/>
      <c r="H135" s="3"/>
      <c r="I135" s="3"/>
      <c r="J135" s="3"/>
      <c r="K135" s="3"/>
      <c r="L135" s="3"/>
      <c r="M135" s="3"/>
      <c r="N135" s="3"/>
      <c r="O135" s="3"/>
      <c r="P135" s="3"/>
      <c r="Q135" s="3"/>
      <c r="R135" s="3"/>
      <c r="S135" s="3"/>
      <c r="T135" s="3"/>
      <c r="U135" s="3"/>
      <c r="V135" s="3"/>
      <c r="W135" s="3"/>
      <c r="X135" s="3"/>
      <c r="Y135" s="3"/>
      <c r="Z135" s="3"/>
    </row>
    <row r="136" spans="1:26">
      <c r="A136" s="131">
        <v>135</v>
      </c>
      <c r="B136" s="74" t="s">
        <v>1674</v>
      </c>
      <c r="C136" s="347">
        <v>42419</v>
      </c>
      <c r="D136" s="113" t="s">
        <v>1675</v>
      </c>
      <c r="E136" s="45"/>
      <c r="F136" s="126"/>
      <c r="G136" s="3"/>
      <c r="H136" s="3"/>
      <c r="I136" s="3"/>
      <c r="J136" s="3"/>
      <c r="K136" s="3"/>
      <c r="L136" s="3"/>
      <c r="M136" s="3"/>
      <c r="N136" s="3"/>
      <c r="O136" s="3"/>
      <c r="P136" s="3"/>
      <c r="Q136" s="3"/>
      <c r="R136" s="3"/>
      <c r="S136" s="3"/>
      <c r="T136" s="3"/>
      <c r="U136" s="3"/>
      <c r="V136" s="3"/>
      <c r="W136" s="3"/>
      <c r="X136" s="3"/>
      <c r="Y136" s="3"/>
      <c r="Z136" s="3"/>
    </row>
    <row r="137" spans="1:26">
      <c r="A137" s="131">
        <v>136</v>
      </c>
      <c r="B137" s="74" t="s">
        <v>1676</v>
      </c>
      <c r="C137" s="347">
        <v>42423</v>
      </c>
      <c r="D137" s="113" t="s">
        <v>1675</v>
      </c>
      <c r="E137" s="45"/>
      <c r="F137" s="126"/>
      <c r="G137" s="3"/>
      <c r="H137" s="3"/>
      <c r="I137" s="3"/>
      <c r="J137" s="3"/>
      <c r="K137" s="3"/>
      <c r="L137" s="3"/>
      <c r="M137" s="3"/>
      <c r="N137" s="3"/>
      <c r="O137" s="3"/>
      <c r="P137" s="3"/>
      <c r="Q137" s="3"/>
      <c r="R137" s="3"/>
      <c r="S137" s="3"/>
      <c r="T137" s="3"/>
      <c r="U137" s="3"/>
      <c r="V137" s="3"/>
      <c r="W137" s="3"/>
      <c r="X137" s="3"/>
      <c r="Y137" s="3"/>
      <c r="Z137" s="3"/>
    </row>
    <row r="138" spans="1:26">
      <c r="A138" s="131">
        <v>137</v>
      </c>
      <c r="B138" s="74" t="s">
        <v>1677</v>
      </c>
      <c r="C138" s="347">
        <v>42426</v>
      </c>
      <c r="D138" s="113" t="s">
        <v>1673</v>
      </c>
      <c r="E138" s="45"/>
      <c r="F138" s="126"/>
      <c r="G138" s="3"/>
      <c r="H138" s="3"/>
      <c r="I138" s="3"/>
      <c r="J138" s="3"/>
      <c r="K138" s="3"/>
      <c r="L138" s="3"/>
      <c r="M138" s="3"/>
      <c r="N138" s="3"/>
      <c r="O138" s="3"/>
      <c r="P138" s="3"/>
      <c r="Q138" s="3"/>
      <c r="R138" s="3"/>
      <c r="S138" s="3"/>
      <c r="T138" s="3"/>
      <c r="U138" s="3"/>
      <c r="V138" s="3"/>
      <c r="W138" s="3"/>
      <c r="X138" s="3"/>
      <c r="Y138" s="3"/>
      <c r="Z138" s="3"/>
    </row>
    <row r="139" spans="1:26">
      <c r="A139" s="131">
        <v>138</v>
      </c>
      <c r="B139" s="74" t="s">
        <v>1678</v>
      </c>
      <c r="C139" s="347">
        <v>42445</v>
      </c>
      <c r="D139" s="113" t="s">
        <v>1673</v>
      </c>
      <c r="E139" s="45"/>
      <c r="F139" s="126"/>
      <c r="G139" s="3"/>
      <c r="H139" s="3"/>
      <c r="I139" s="3"/>
      <c r="J139" s="3"/>
      <c r="K139" s="3"/>
      <c r="L139" s="3"/>
      <c r="M139" s="3"/>
      <c r="N139" s="3"/>
      <c r="O139" s="3"/>
      <c r="P139" s="3"/>
      <c r="Q139" s="3"/>
      <c r="R139" s="3"/>
      <c r="S139" s="3"/>
      <c r="T139" s="3"/>
      <c r="U139" s="3"/>
      <c r="V139" s="3"/>
      <c r="W139" s="3"/>
      <c r="X139" s="3"/>
      <c r="Y139" s="3"/>
      <c r="Z139" s="3"/>
    </row>
    <row r="140" spans="1:26">
      <c r="A140" s="131">
        <v>139</v>
      </c>
      <c r="B140" s="74" t="s">
        <v>1679</v>
      </c>
      <c r="C140" s="347">
        <v>42445</v>
      </c>
      <c r="D140" s="113" t="s">
        <v>1673</v>
      </c>
      <c r="E140" s="45"/>
      <c r="F140" s="126"/>
      <c r="G140" s="3"/>
      <c r="H140" s="3"/>
      <c r="I140" s="3"/>
      <c r="J140" s="3"/>
      <c r="K140" s="3"/>
      <c r="L140" s="3"/>
      <c r="M140" s="3"/>
      <c r="N140" s="3"/>
      <c r="O140" s="3"/>
      <c r="P140" s="3"/>
      <c r="Q140" s="3"/>
      <c r="R140" s="3"/>
      <c r="S140" s="3"/>
      <c r="T140" s="3"/>
      <c r="U140" s="3"/>
      <c r="V140" s="3"/>
      <c r="W140" s="3"/>
      <c r="X140" s="3"/>
      <c r="Y140" s="3"/>
      <c r="Z140" s="3"/>
    </row>
    <row r="141" spans="1:26">
      <c r="A141" s="131">
        <v>140</v>
      </c>
      <c r="B141" s="74" t="s">
        <v>1680</v>
      </c>
      <c r="C141" s="347">
        <v>42459</v>
      </c>
      <c r="D141" s="113" t="s">
        <v>1681</v>
      </c>
      <c r="E141" s="45"/>
      <c r="F141" s="126"/>
      <c r="G141" s="3"/>
      <c r="H141" s="3"/>
      <c r="I141" s="3"/>
      <c r="J141" s="3"/>
      <c r="K141" s="3"/>
      <c r="L141" s="3"/>
      <c r="M141" s="3"/>
      <c r="N141" s="3"/>
      <c r="O141" s="3"/>
      <c r="P141" s="3"/>
      <c r="Q141" s="3"/>
      <c r="R141" s="3"/>
      <c r="S141" s="3"/>
      <c r="T141" s="3"/>
      <c r="U141" s="3"/>
      <c r="V141" s="3"/>
      <c r="W141" s="3"/>
      <c r="X141" s="3"/>
      <c r="Y141" s="3"/>
      <c r="Z141" s="3"/>
    </row>
    <row r="142" spans="1:26">
      <c r="A142" s="131">
        <v>141</v>
      </c>
      <c r="B142" s="74" t="s">
        <v>1682</v>
      </c>
      <c r="C142" s="347">
        <v>42460</v>
      </c>
      <c r="D142" s="113" t="s">
        <v>1683</v>
      </c>
      <c r="E142" s="45"/>
      <c r="F142" s="126"/>
      <c r="G142" s="3"/>
      <c r="H142" s="3"/>
      <c r="I142" s="3"/>
      <c r="J142" s="3"/>
      <c r="K142" s="3"/>
      <c r="L142" s="3"/>
      <c r="M142" s="3"/>
      <c r="N142" s="3"/>
      <c r="O142" s="3"/>
      <c r="P142" s="3"/>
      <c r="Q142" s="3"/>
      <c r="R142" s="3"/>
      <c r="S142" s="3"/>
      <c r="T142" s="3"/>
      <c r="U142" s="3"/>
      <c r="V142" s="3"/>
      <c r="W142" s="3"/>
      <c r="X142" s="3"/>
      <c r="Y142" s="3"/>
      <c r="Z142" s="3"/>
    </row>
    <row r="143" spans="1:26">
      <c r="A143" s="131">
        <v>142</v>
      </c>
      <c r="B143" s="74" t="s">
        <v>1684</v>
      </c>
      <c r="C143" s="347">
        <v>42461</v>
      </c>
      <c r="D143" s="113" t="s">
        <v>1685</v>
      </c>
      <c r="E143" s="45"/>
      <c r="F143" s="126"/>
      <c r="G143" s="3"/>
      <c r="H143" s="3"/>
      <c r="I143" s="3"/>
      <c r="J143" s="3"/>
      <c r="K143" s="3"/>
      <c r="L143" s="3"/>
      <c r="M143" s="3"/>
      <c r="N143" s="3"/>
      <c r="O143" s="3"/>
      <c r="P143" s="3"/>
      <c r="Q143" s="3"/>
      <c r="R143" s="3"/>
      <c r="S143" s="3"/>
      <c r="T143" s="3"/>
      <c r="U143" s="3"/>
      <c r="V143" s="3"/>
      <c r="W143" s="3"/>
      <c r="X143" s="3"/>
      <c r="Y143" s="3"/>
      <c r="Z143" s="3"/>
    </row>
    <row r="144" spans="1:26">
      <c r="A144" s="131">
        <v>143</v>
      </c>
      <c r="B144" s="74" t="s">
        <v>1686</v>
      </c>
      <c r="C144" s="347">
        <v>42464</v>
      </c>
      <c r="D144" s="113" t="s">
        <v>227</v>
      </c>
      <c r="E144" s="45"/>
      <c r="F144" s="126"/>
      <c r="G144" s="3"/>
      <c r="H144" s="3"/>
      <c r="I144" s="3"/>
      <c r="J144" s="3"/>
      <c r="K144" s="3"/>
      <c r="L144" s="3"/>
      <c r="M144" s="3"/>
      <c r="N144" s="3"/>
      <c r="O144" s="3"/>
      <c r="P144" s="3"/>
      <c r="Q144" s="3"/>
      <c r="R144" s="3"/>
      <c r="S144" s="3"/>
      <c r="T144" s="3"/>
      <c r="U144" s="3"/>
      <c r="V144" s="3"/>
      <c r="W144" s="3"/>
      <c r="X144" s="3"/>
      <c r="Y144" s="3"/>
      <c r="Z144" s="3"/>
    </row>
    <row r="145" spans="1:26">
      <c r="A145" s="131">
        <v>144</v>
      </c>
      <c r="B145" s="128" t="s">
        <v>1687</v>
      </c>
      <c r="C145" s="347">
        <v>42465</v>
      </c>
      <c r="D145" s="113" t="s">
        <v>1688</v>
      </c>
      <c r="E145" s="45"/>
      <c r="F145" s="126"/>
      <c r="G145" s="3"/>
      <c r="H145" s="3"/>
      <c r="I145" s="3"/>
      <c r="J145" s="3"/>
      <c r="K145" s="3"/>
      <c r="L145" s="3"/>
      <c r="M145" s="3"/>
      <c r="N145" s="3"/>
      <c r="O145" s="3"/>
      <c r="P145" s="3"/>
      <c r="Q145" s="3"/>
      <c r="R145" s="3"/>
      <c r="S145" s="3"/>
      <c r="T145" s="3"/>
      <c r="U145" s="3"/>
      <c r="V145" s="3"/>
      <c r="W145" s="3"/>
      <c r="X145" s="3"/>
      <c r="Y145" s="3"/>
      <c r="Z145" s="3"/>
    </row>
    <row r="146" spans="1:26">
      <c r="A146" s="131">
        <v>145</v>
      </c>
      <c r="B146" s="74" t="s">
        <v>1689</v>
      </c>
      <c r="C146" s="347">
        <v>42465</v>
      </c>
      <c r="D146" s="113" t="s">
        <v>1690</v>
      </c>
      <c r="E146" s="45"/>
      <c r="F146" s="126"/>
      <c r="G146" s="3"/>
      <c r="H146" s="3"/>
      <c r="I146" s="3"/>
      <c r="J146" s="3"/>
      <c r="K146" s="3"/>
      <c r="L146" s="3"/>
      <c r="M146" s="3"/>
      <c r="N146" s="3"/>
      <c r="O146" s="3"/>
      <c r="P146" s="3"/>
      <c r="Q146" s="3"/>
      <c r="R146" s="3"/>
      <c r="S146" s="3"/>
      <c r="T146" s="3"/>
      <c r="U146" s="3"/>
      <c r="V146" s="3"/>
      <c r="W146" s="3"/>
      <c r="X146" s="3"/>
      <c r="Y146" s="3"/>
      <c r="Z146" s="3"/>
    </row>
    <row r="147" spans="1:26">
      <c r="A147" s="131">
        <v>146</v>
      </c>
      <c r="B147" s="74" t="s">
        <v>1691</v>
      </c>
      <c r="C147" s="347">
        <v>42471</v>
      </c>
      <c r="D147" s="113" t="s">
        <v>227</v>
      </c>
      <c r="E147" s="45"/>
      <c r="F147" s="126"/>
      <c r="G147" s="3"/>
      <c r="H147" s="3"/>
      <c r="I147" s="3"/>
      <c r="J147" s="3"/>
      <c r="K147" s="3"/>
      <c r="L147" s="3"/>
      <c r="M147" s="3"/>
      <c r="N147" s="3"/>
      <c r="O147" s="3"/>
      <c r="P147" s="3"/>
      <c r="Q147" s="3"/>
      <c r="R147" s="3"/>
      <c r="S147" s="3"/>
      <c r="T147" s="3"/>
      <c r="U147" s="3"/>
      <c r="V147" s="3"/>
      <c r="W147" s="3"/>
      <c r="X147" s="3"/>
      <c r="Y147" s="3"/>
      <c r="Z147" s="3"/>
    </row>
    <row r="148" spans="1:26">
      <c r="A148" s="131">
        <v>147</v>
      </c>
      <c r="B148" s="74" t="s">
        <v>1692</v>
      </c>
      <c r="C148" s="347">
        <v>42471</v>
      </c>
      <c r="D148" s="113" t="s">
        <v>227</v>
      </c>
      <c r="E148" s="45"/>
      <c r="F148" s="126"/>
      <c r="G148" s="3"/>
      <c r="H148" s="3"/>
      <c r="I148" s="3"/>
      <c r="J148" s="3"/>
      <c r="K148" s="3"/>
      <c r="L148" s="3"/>
      <c r="M148" s="3"/>
      <c r="N148" s="3"/>
      <c r="O148" s="3"/>
      <c r="P148" s="3"/>
      <c r="Q148" s="3"/>
      <c r="R148" s="3"/>
      <c r="S148" s="3"/>
      <c r="T148" s="3"/>
      <c r="U148" s="3"/>
      <c r="V148" s="3"/>
      <c r="W148" s="3"/>
      <c r="X148" s="3"/>
      <c r="Y148" s="3"/>
      <c r="Z148" s="3"/>
    </row>
    <row r="149" spans="1:26">
      <c r="A149" s="131">
        <v>148</v>
      </c>
      <c r="B149" s="74" t="s">
        <v>1693</v>
      </c>
      <c r="C149" s="347">
        <v>42472</v>
      </c>
      <c r="D149" s="113" t="s">
        <v>1694</v>
      </c>
      <c r="E149" s="45"/>
      <c r="F149" s="126"/>
      <c r="G149" s="3"/>
      <c r="H149" s="3"/>
      <c r="I149" s="3"/>
      <c r="J149" s="3"/>
      <c r="K149" s="3"/>
      <c r="L149" s="3"/>
      <c r="M149" s="3"/>
      <c r="N149" s="3"/>
      <c r="O149" s="3"/>
      <c r="P149" s="3"/>
      <c r="Q149" s="3"/>
      <c r="R149" s="3"/>
      <c r="S149" s="3"/>
      <c r="T149" s="3"/>
      <c r="U149" s="3"/>
      <c r="V149" s="3"/>
      <c r="W149" s="3"/>
      <c r="X149" s="3"/>
      <c r="Y149" s="3"/>
      <c r="Z149" s="3"/>
    </row>
    <row r="150" spans="1:26">
      <c r="A150" s="131">
        <v>149</v>
      </c>
      <c r="B150" s="74" t="s">
        <v>1695</v>
      </c>
      <c r="C150" s="347">
        <v>42473</v>
      </c>
      <c r="D150" s="113" t="s">
        <v>4889</v>
      </c>
      <c r="E150" s="45"/>
      <c r="F150" s="126"/>
      <c r="G150" s="3"/>
      <c r="H150" s="3"/>
      <c r="I150" s="3"/>
      <c r="J150" s="3"/>
      <c r="K150" s="3"/>
      <c r="L150" s="3"/>
      <c r="M150" s="3"/>
      <c r="N150" s="3"/>
      <c r="O150" s="3"/>
      <c r="P150" s="3"/>
      <c r="Q150" s="3"/>
      <c r="R150" s="3"/>
      <c r="S150" s="3"/>
      <c r="T150" s="3"/>
      <c r="U150" s="3"/>
      <c r="V150" s="3"/>
      <c r="W150" s="3"/>
      <c r="X150" s="3"/>
      <c r="Y150" s="3"/>
      <c r="Z150" s="3"/>
    </row>
    <row r="151" spans="1:26">
      <c r="A151" s="131">
        <v>150</v>
      </c>
      <c r="B151" s="74" t="s">
        <v>1696</v>
      </c>
      <c r="C151" s="347">
        <v>42474</v>
      </c>
      <c r="D151" s="113" t="s">
        <v>4889</v>
      </c>
      <c r="E151" s="45"/>
      <c r="F151" s="126"/>
      <c r="G151" s="3"/>
      <c r="H151" s="3"/>
      <c r="I151" s="3"/>
      <c r="J151" s="3"/>
      <c r="K151" s="3"/>
      <c r="L151" s="3"/>
      <c r="M151" s="3"/>
      <c r="N151" s="3"/>
      <c r="O151" s="3"/>
      <c r="P151" s="3"/>
      <c r="Q151" s="3"/>
      <c r="R151" s="3"/>
      <c r="S151" s="3"/>
      <c r="T151" s="3"/>
      <c r="U151" s="3"/>
      <c r="V151" s="3"/>
      <c r="W151" s="3"/>
      <c r="X151" s="3"/>
      <c r="Y151" s="3"/>
      <c r="Z151" s="3"/>
    </row>
    <row r="152" spans="1:26">
      <c r="A152" s="131">
        <v>151</v>
      </c>
      <c r="B152" s="74" t="s">
        <v>1697</v>
      </c>
      <c r="C152" s="347">
        <v>42474</v>
      </c>
      <c r="D152" s="113" t="s">
        <v>4889</v>
      </c>
      <c r="E152" s="45"/>
      <c r="F152" s="126"/>
      <c r="G152" s="3"/>
      <c r="H152" s="3"/>
      <c r="I152" s="3"/>
      <c r="J152" s="3"/>
      <c r="K152" s="3"/>
      <c r="L152" s="3"/>
      <c r="M152" s="3"/>
      <c r="N152" s="3"/>
      <c r="O152" s="3"/>
      <c r="P152" s="3"/>
      <c r="Q152" s="3"/>
      <c r="R152" s="3"/>
      <c r="S152" s="3"/>
      <c r="T152" s="3"/>
      <c r="U152" s="3"/>
      <c r="V152" s="3"/>
      <c r="W152" s="3"/>
      <c r="X152" s="3"/>
      <c r="Y152" s="3"/>
      <c r="Z152" s="3"/>
    </row>
    <row r="153" spans="1:26">
      <c r="A153" s="131">
        <v>152</v>
      </c>
      <c r="B153" s="74" t="s">
        <v>1698</v>
      </c>
      <c r="C153" s="347">
        <v>42486</v>
      </c>
      <c r="D153" s="113" t="s">
        <v>1673</v>
      </c>
      <c r="E153" s="45"/>
      <c r="F153" s="126"/>
      <c r="G153" s="3"/>
      <c r="H153" s="3"/>
      <c r="I153" s="3"/>
      <c r="J153" s="3"/>
      <c r="K153" s="3"/>
      <c r="L153" s="3"/>
      <c r="M153" s="3"/>
      <c r="N153" s="3"/>
      <c r="O153" s="3"/>
      <c r="P153" s="3"/>
      <c r="Q153" s="3"/>
      <c r="R153" s="3"/>
      <c r="S153" s="3"/>
      <c r="T153" s="3"/>
      <c r="U153" s="3"/>
      <c r="V153" s="3"/>
      <c r="W153" s="3"/>
      <c r="X153" s="3"/>
      <c r="Y153" s="3"/>
      <c r="Z153" s="3"/>
    </row>
    <row r="154" spans="1:26">
      <c r="A154" s="131">
        <v>153</v>
      </c>
      <c r="B154" s="74" t="s">
        <v>1699</v>
      </c>
      <c r="C154" s="347">
        <v>42488</v>
      </c>
      <c r="D154" s="113" t="s">
        <v>1673</v>
      </c>
      <c r="E154" s="45"/>
      <c r="F154" s="126"/>
      <c r="G154" s="3"/>
      <c r="H154" s="3"/>
      <c r="I154" s="3"/>
      <c r="J154" s="3"/>
      <c r="K154" s="3"/>
      <c r="L154" s="3"/>
      <c r="M154" s="3"/>
      <c r="N154" s="3"/>
      <c r="O154" s="3"/>
      <c r="P154" s="3"/>
      <c r="Q154" s="3"/>
      <c r="R154" s="3"/>
      <c r="S154" s="3"/>
      <c r="T154" s="3"/>
      <c r="U154" s="3"/>
      <c r="V154" s="3"/>
      <c r="W154" s="3"/>
      <c r="X154" s="3"/>
      <c r="Y154" s="3"/>
      <c r="Z154" s="3"/>
    </row>
    <row r="155" spans="1:26">
      <c r="A155" s="131">
        <v>154</v>
      </c>
      <c r="B155" s="74" t="s">
        <v>1700</v>
      </c>
      <c r="C155" s="347">
        <v>42500</v>
      </c>
      <c r="D155" s="113" t="s">
        <v>1625</v>
      </c>
      <c r="E155" s="45"/>
      <c r="F155" s="126"/>
      <c r="G155" s="3"/>
      <c r="H155" s="3"/>
      <c r="I155" s="3"/>
      <c r="J155" s="3"/>
      <c r="K155" s="3"/>
      <c r="L155" s="3"/>
      <c r="M155" s="3"/>
      <c r="N155" s="3"/>
      <c r="O155" s="3"/>
      <c r="P155" s="3"/>
      <c r="Q155" s="3"/>
      <c r="R155" s="3"/>
      <c r="S155" s="3"/>
      <c r="T155" s="3"/>
      <c r="U155" s="3"/>
      <c r="V155" s="3"/>
      <c r="W155" s="3"/>
      <c r="X155" s="3"/>
      <c r="Y155" s="3"/>
      <c r="Z155" s="3"/>
    </row>
    <row r="156" spans="1:26">
      <c r="A156" s="131">
        <v>155</v>
      </c>
      <c r="B156" s="74" t="s">
        <v>1701</v>
      </c>
      <c r="C156" s="347">
        <v>42503</v>
      </c>
      <c r="D156" s="113" t="s">
        <v>1702</v>
      </c>
      <c r="E156" s="45"/>
      <c r="F156" s="126"/>
      <c r="G156" s="3"/>
      <c r="H156" s="3"/>
      <c r="I156" s="3"/>
      <c r="J156" s="3"/>
      <c r="K156" s="3"/>
      <c r="L156" s="3"/>
      <c r="M156" s="3"/>
      <c r="N156" s="3"/>
      <c r="O156" s="3"/>
      <c r="P156" s="3"/>
      <c r="Q156" s="3"/>
      <c r="R156" s="3"/>
      <c r="S156" s="3"/>
      <c r="T156" s="3"/>
      <c r="U156" s="3"/>
      <c r="V156" s="3"/>
      <c r="W156" s="3"/>
      <c r="X156" s="3"/>
      <c r="Y156" s="3"/>
      <c r="Z156" s="3"/>
    </row>
    <row r="157" spans="1:26">
      <c r="A157" s="131">
        <v>156</v>
      </c>
      <c r="B157" s="74" t="s">
        <v>1703</v>
      </c>
      <c r="C157" s="347">
        <v>42508</v>
      </c>
      <c r="D157" s="113" t="s">
        <v>1704</v>
      </c>
      <c r="E157" s="45"/>
      <c r="F157" s="126"/>
      <c r="G157" s="3"/>
      <c r="H157" s="3"/>
      <c r="I157" s="3"/>
      <c r="J157" s="3"/>
      <c r="K157" s="3"/>
      <c r="L157" s="3"/>
      <c r="M157" s="3"/>
      <c r="N157" s="3"/>
      <c r="O157" s="3"/>
      <c r="P157" s="3"/>
      <c r="Q157" s="3"/>
      <c r="R157" s="3"/>
      <c r="S157" s="3"/>
      <c r="T157" s="3"/>
      <c r="U157" s="3"/>
      <c r="V157" s="3"/>
      <c r="W157" s="3"/>
      <c r="X157" s="3"/>
      <c r="Y157" s="3"/>
      <c r="Z157" s="3"/>
    </row>
    <row r="158" spans="1:26">
      <c r="A158" s="131">
        <v>157</v>
      </c>
      <c r="B158" s="74" t="s">
        <v>1705</v>
      </c>
      <c r="C158" s="347">
        <v>42523</v>
      </c>
      <c r="D158" s="113" t="s">
        <v>4890</v>
      </c>
      <c r="E158" s="45"/>
      <c r="F158" s="126"/>
      <c r="G158" s="3"/>
      <c r="H158" s="3"/>
      <c r="I158" s="3"/>
      <c r="J158" s="3"/>
      <c r="K158" s="3"/>
      <c r="L158" s="3"/>
      <c r="M158" s="3"/>
      <c r="N158" s="3"/>
      <c r="O158" s="3"/>
      <c r="P158" s="3"/>
      <c r="Q158" s="3"/>
      <c r="R158" s="3"/>
      <c r="S158" s="3"/>
      <c r="T158" s="3"/>
      <c r="U158" s="3"/>
      <c r="V158" s="3"/>
      <c r="W158" s="3"/>
      <c r="X158" s="3"/>
      <c r="Y158" s="3"/>
      <c r="Z158" s="3"/>
    </row>
    <row r="159" spans="1:26">
      <c r="A159" s="131">
        <v>158</v>
      </c>
      <c r="B159" s="74" t="s">
        <v>1706</v>
      </c>
      <c r="C159" s="347">
        <v>42538</v>
      </c>
      <c r="D159" s="113" t="s">
        <v>1707</v>
      </c>
      <c r="E159" s="45"/>
      <c r="F159" s="126"/>
      <c r="G159" s="3"/>
      <c r="H159" s="3"/>
      <c r="I159" s="3"/>
      <c r="J159" s="3"/>
      <c r="K159" s="3"/>
      <c r="L159" s="3"/>
      <c r="M159" s="3"/>
      <c r="N159" s="3"/>
      <c r="O159" s="3"/>
      <c r="P159" s="3"/>
      <c r="Q159" s="3"/>
      <c r="R159" s="3"/>
      <c r="S159" s="3"/>
      <c r="T159" s="3"/>
      <c r="U159" s="3"/>
      <c r="V159" s="3"/>
      <c r="W159" s="3"/>
      <c r="X159" s="3"/>
      <c r="Y159" s="3"/>
      <c r="Z159" s="3"/>
    </row>
    <row r="160" spans="1:26">
      <c r="A160" s="131">
        <v>159</v>
      </c>
      <c r="B160" s="74" t="s">
        <v>1708</v>
      </c>
      <c r="C160" s="347">
        <v>42555</v>
      </c>
      <c r="D160" s="113" t="s">
        <v>4884</v>
      </c>
      <c r="E160" s="45"/>
      <c r="F160" s="126"/>
      <c r="G160" s="3"/>
      <c r="H160" s="3"/>
      <c r="I160" s="3"/>
      <c r="J160" s="3"/>
      <c r="K160" s="3"/>
      <c r="L160" s="3"/>
      <c r="M160" s="3"/>
      <c r="N160" s="3"/>
      <c r="O160" s="3"/>
      <c r="P160" s="3"/>
      <c r="Q160" s="3"/>
      <c r="R160" s="3"/>
      <c r="S160" s="3"/>
      <c r="T160" s="3"/>
      <c r="U160" s="3"/>
      <c r="V160" s="3"/>
      <c r="W160" s="3"/>
      <c r="X160" s="3"/>
      <c r="Y160" s="3"/>
      <c r="Z160" s="3"/>
    </row>
    <row r="161" spans="1:26">
      <c r="A161" s="131">
        <v>160</v>
      </c>
      <c r="B161" s="74" t="s">
        <v>1709</v>
      </c>
      <c r="C161" s="347">
        <v>42557</v>
      </c>
      <c r="D161" s="113" t="s">
        <v>1416</v>
      </c>
      <c r="E161" s="45"/>
      <c r="F161" s="126"/>
      <c r="G161" s="3"/>
      <c r="H161" s="3"/>
      <c r="I161" s="3"/>
      <c r="J161" s="3"/>
      <c r="K161" s="3"/>
      <c r="L161" s="3"/>
      <c r="M161" s="3"/>
      <c r="N161" s="3"/>
      <c r="O161" s="3"/>
      <c r="P161" s="3"/>
      <c r="Q161" s="3"/>
      <c r="R161" s="3"/>
      <c r="S161" s="3"/>
      <c r="T161" s="3"/>
      <c r="U161" s="3"/>
      <c r="V161" s="3"/>
      <c r="W161" s="3"/>
      <c r="X161" s="3"/>
      <c r="Y161" s="3"/>
      <c r="Z161" s="3"/>
    </row>
    <row r="162" spans="1:26">
      <c r="A162" s="131">
        <v>161</v>
      </c>
      <c r="B162" s="2" t="s">
        <v>1710</v>
      </c>
      <c r="C162" s="347">
        <v>42598</v>
      </c>
      <c r="D162" s="113" t="s">
        <v>1711</v>
      </c>
      <c r="E162" s="45"/>
      <c r="F162" s="126"/>
      <c r="G162" s="3"/>
      <c r="H162" s="3"/>
      <c r="I162" s="3"/>
      <c r="J162" s="3"/>
      <c r="K162" s="3"/>
      <c r="L162" s="3"/>
      <c r="M162" s="3"/>
      <c r="N162" s="3"/>
      <c r="O162" s="3"/>
      <c r="P162" s="3"/>
      <c r="Q162" s="3"/>
      <c r="R162" s="3"/>
      <c r="S162" s="3"/>
      <c r="T162" s="3"/>
      <c r="U162" s="3"/>
      <c r="V162" s="3"/>
      <c r="W162" s="3"/>
      <c r="X162" s="3"/>
      <c r="Y162" s="3"/>
      <c r="Z162" s="3"/>
    </row>
    <row r="163" spans="1:26">
      <c r="A163" s="131">
        <v>162</v>
      </c>
      <c r="B163" s="74" t="s">
        <v>1427</v>
      </c>
      <c r="C163" s="347">
        <v>42604</v>
      </c>
      <c r="D163" s="113" t="s">
        <v>1416</v>
      </c>
      <c r="E163" s="45"/>
      <c r="F163" s="126"/>
      <c r="G163" s="3"/>
      <c r="H163" s="3"/>
      <c r="I163" s="3"/>
      <c r="J163" s="3"/>
      <c r="K163" s="3"/>
      <c r="L163" s="3"/>
      <c r="M163" s="3"/>
      <c r="N163" s="3"/>
      <c r="O163" s="3"/>
      <c r="P163" s="3"/>
      <c r="Q163" s="3"/>
      <c r="R163" s="3"/>
      <c r="S163" s="3"/>
      <c r="T163" s="3"/>
      <c r="U163" s="3"/>
      <c r="V163" s="3"/>
      <c r="W163" s="3"/>
      <c r="X163" s="3"/>
      <c r="Y163" s="3"/>
      <c r="Z163" s="3"/>
    </row>
    <row r="164" spans="1:26">
      <c r="A164" s="131">
        <v>163</v>
      </c>
      <c r="B164" s="74" t="s">
        <v>1712</v>
      </c>
      <c r="C164" s="347">
        <v>42740</v>
      </c>
      <c r="D164" s="113" t="s">
        <v>21</v>
      </c>
      <c r="E164" s="45"/>
      <c r="F164" s="126"/>
      <c r="G164" s="3"/>
      <c r="H164" s="3"/>
      <c r="I164" s="3"/>
      <c r="J164" s="3"/>
      <c r="K164" s="3"/>
      <c r="L164" s="3"/>
      <c r="M164" s="3"/>
      <c r="N164" s="3"/>
      <c r="O164" s="3"/>
      <c r="P164" s="3"/>
      <c r="Q164" s="3"/>
      <c r="R164" s="3"/>
      <c r="S164" s="3"/>
      <c r="T164" s="3"/>
      <c r="U164" s="3"/>
      <c r="V164" s="3"/>
      <c r="W164" s="3"/>
      <c r="X164" s="3"/>
      <c r="Y164" s="3"/>
      <c r="Z164" s="3"/>
    </row>
    <row r="165" spans="1:26">
      <c r="A165" s="131">
        <v>164</v>
      </c>
      <c r="B165" s="74" t="s">
        <v>1713</v>
      </c>
      <c r="C165" s="347">
        <v>42747</v>
      </c>
      <c r="D165" s="113" t="s">
        <v>1416</v>
      </c>
      <c r="E165" s="45"/>
      <c r="F165" s="126"/>
      <c r="G165" s="3"/>
      <c r="H165" s="3"/>
      <c r="I165" s="3"/>
      <c r="J165" s="3"/>
      <c r="K165" s="3"/>
      <c r="L165" s="3"/>
      <c r="M165" s="3"/>
      <c r="N165" s="3"/>
      <c r="O165" s="3"/>
      <c r="P165" s="3"/>
      <c r="Q165" s="3"/>
      <c r="R165" s="3"/>
      <c r="S165" s="3"/>
      <c r="T165" s="3"/>
      <c r="U165" s="3"/>
      <c r="V165" s="3"/>
      <c r="W165" s="3"/>
      <c r="X165" s="3"/>
      <c r="Y165" s="3"/>
      <c r="Z165" s="3"/>
    </row>
    <row r="166" spans="1:26">
      <c r="A166" s="131">
        <v>165</v>
      </c>
      <c r="B166" s="74" t="s">
        <v>1714</v>
      </c>
      <c r="C166" s="347">
        <v>42786</v>
      </c>
      <c r="D166" s="113" t="s">
        <v>1498</v>
      </c>
      <c r="E166" s="45"/>
      <c r="F166" s="126"/>
      <c r="G166" s="3"/>
      <c r="H166" s="3"/>
      <c r="I166" s="3"/>
      <c r="J166" s="3"/>
      <c r="K166" s="3"/>
      <c r="L166" s="3"/>
      <c r="M166" s="3"/>
      <c r="N166" s="3"/>
      <c r="O166" s="3"/>
      <c r="P166" s="3"/>
      <c r="Q166" s="3"/>
      <c r="R166" s="3"/>
      <c r="S166" s="3"/>
      <c r="T166" s="3"/>
      <c r="U166" s="3"/>
      <c r="V166" s="3"/>
      <c r="W166" s="3"/>
      <c r="X166" s="3"/>
      <c r="Y166" s="3"/>
      <c r="Z166" s="3"/>
    </row>
    <row r="167" spans="1:26">
      <c r="A167" s="131">
        <v>166</v>
      </c>
      <c r="B167" s="74" t="s">
        <v>1715</v>
      </c>
      <c r="C167" s="347">
        <v>42829</v>
      </c>
      <c r="D167" s="113" t="s">
        <v>1716</v>
      </c>
      <c r="E167" s="45"/>
      <c r="F167" s="126"/>
      <c r="G167" s="3"/>
      <c r="H167" s="3"/>
      <c r="I167" s="3"/>
      <c r="J167" s="3"/>
      <c r="K167" s="3"/>
      <c r="L167" s="3"/>
      <c r="M167" s="3"/>
      <c r="N167" s="3"/>
      <c r="O167" s="3"/>
      <c r="P167" s="3"/>
      <c r="Q167" s="3"/>
      <c r="R167" s="3"/>
      <c r="S167" s="3"/>
      <c r="T167" s="3"/>
      <c r="U167" s="3"/>
      <c r="V167" s="3"/>
      <c r="W167" s="3"/>
      <c r="X167" s="3"/>
      <c r="Y167" s="3"/>
      <c r="Z167" s="3"/>
    </row>
    <row r="168" spans="1:26">
      <c r="A168" s="131">
        <v>167</v>
      </c>
      <c r="B168" s="74" t="s">
        <v>1717</v>
      </c>
      <c r="C168" s="347">
        <v>42832</v>
      </c>
      <c r="D168" s="113" t="s">
        <v>1718</v>
      </c>
      <c r="E168" s="45"/>
      <c r="F168" s="126"/>
      <c r="G168" s="3"/>
      <c r="H168" s="3"/>
      <c r="I168" s="3"/>
      <c r="J168" s="3"/>
      <c r="K168" s="3"/>
      <c r="L168" s="3"/>
      <c r="M168" s="3"/>
      <c r="N168" s="3"/>
      <c r="O168" s="3"/>
      <c r="P168" s="3"/>
      <c r="Q168" s="3"/>
      <c r="R168" s="3"/>
      <c r="S168" s="3"/>
      <c r="T168" s="3"/>
      <c r="U168" s="3"/>
      <c r="V168" s="3"/>
      <c r="W168" s="3"/>
      <c r="X168" s="3"/>
      <c r="Y168" s="3"/>
      <c r="Z168" s="3"/>
    </row>
    <row r="169" spans="1:26">
      <c r="A169" s="131">
        <v>168</v>
      </c>
      <c r="B169" s="74" t="s">
        <v>1719</v>
      </c>
      <c r="C169" s="347">
        <v>42863</v>
      </c>
      <c r="D169" s="113" t="s">
        <v>1720</v>
      </c>
      <c r="E169" s="45"/>
      <c r="F169" s="126"/>
      <c r="G169" s="3"/>
      <c r="H169" s="3"/>
      <c r="I169" s="3"/>
      <c r="J169" s="3"/>
      <c r="K169" s="3"/>
      <c r="L169" s="3"/>
      <c r="M169" s="3"/>
      <c r="N169" s="3"/>
      <c r="O169" s="3"/>
      <c r="P169" s="3"/>
      <c r="Q169" s="3"/>
      <c r="R169" s="3"/>
      <c r="S169" s="3"/>
      <c r="T169" s="3"/>
      <c r="U169" s="3"/>
      <c r="V169" s="3"/>
      <c r="W169" s="3"/>
      <c r="X169" s="3"/>
      <c r="Y169" s="3"/>
      <c r="Z169" s="3"/>
    </row>
    <row r="170" spans="1:26">
      <c r="A170" s="131">
        <v>169</v>
      </c>
      <c r="B170" s="74" t="s">
        <v>1721</v>
      </c>
      <c r="C170" s="347">
        <v>42871</v>
      </c>
      <c r="D170" s="113" t="s">
        <v>1722</v>
      </c>
      <c r="E170" s="45"/>
      <c r="F170" s="126"/>
      <c r="G170" s="3"/>
      <c r="H170" s="3"/>
      <c r="I170" s="3"/>
      <c r="J170" s="3"/>
      <c r="K170" s="3"/>
      <c r="L170" s="3"/>
      <c r="M170" s="3"/>
      <c r="N170" s="3"/>
      <c r="O170" s="3"/>
      <c r="P170" s="3"/>
      <c r="Q170" s="3"/>
      <c r="R170" s="3"/>
      <c r="S170" s="3"/>
      <c r="T170" s="3"/>
      <c r="U170" s="3"/>
      <c r="V170" s="3"/>
      <c r="W170" s="3"/>
      <c r="X170" s="3"/>
      <c r="Y170" s="3"/>
      <c r="Z170" s="3"/>
    </row>
    <row r="171" spans="1:26">
      <c r="A171" s="131">
        <v>170</v>
      </c>
      <c r="B171" s="74" t="s">
        <v>1723</v>
      </c>
      <c r="C171" s="347">
        <v>42872</v>
      </c>
      <c r="D171" s="113" t="s">
        <v>1724</v>
      </c>
      <c r="E171" s="45"/>
      <c r="F171" s="126"/>
      <c r="G171" s="3"/>
      <c r="H171" s="3"/>
      <c r="I171" s="3"/>
      <c r="J171" s="3"/>
      <c r="K171" s="3"/>
      <c r="L171" s="3"/>
      <c r="M171" s="3"/>
      <c r="N171" s="3"/>
      <c r="O171" s="3"/>
      <c r="P171" s="3"/>
      <c r="Q171" s="3"/>
      <c r="R171" s="3"/>
      <c r="S171" s="3"/>
      <c r="T171" s="3"/>
      <c r="U171" s="3"/>
      <c r="V171" s="3"/>
      <c r="W171" s="3"/>
      <c r="X171" s="3"/>
      <c r="Y171" s="3"/>
      <c r="Z171" s="3"/>
    </row>
    <row r="172" spans="1:26">
      <c r="A172" s="131">
        <v>171</v>
      </c>
      <c r="B172" s="74" t="s">
        <v>1725</v>
      </c>
      <c r="C172" s="347">
        <v>42878</v>
      </c>
      <c r="D172" s="113" t="s">
        <v>1726</v>
      </c>
      <c r="E172" s="45"/>
      <c r="F172" s="126"/>
      <c r="G172" s="3"/>
      <c r="H172" s="3"/>
      <c r="I172" s="3"/>
      <c r="J172" s="3"/>
      <c r="K172" s="3"/>
      <c r="L172" s="3"/>
      <c r="M172" s="3"/>
      <c r="N172" s="3"/>
      <c r="O172" s="3"/>
      <c r="P172" s="3"/>
      <c r="Q172" s="3"/>
      <c r="R172" s="3"/>
      <c r="S172" s="3"/>
      <c r="T172" s="3"/>
      <c r="U172" s="3"/>
      <c r="V172" s="3"/>
      <c r="W172" s="3"/>
      <c r="X172" s="3"/>
      <c r="Y172" s="3"/>
      <c r="Z172" s="3"/>
    </row>
    <row r="173" spans="1:26">
      <c r="A173" s="131">
        <v>172</v>
      </c>
      <c r="B173" s="74" t="s">
        <v>1727</v>
      </c>
      <c r="C173" s="347">
        <v>42879</v>
      </c>
      <c r="D173" s="113" t="s">
        <v>1728</v>
      </c>
      <c r="E173" s="45"/>
      <c r="F173" s="126"/>
      <c r="G173" s="3"/>
      <c r="H173" s="3"/>
      <c r="I173" s="3"/>
      <c r="J173" s="3"/>
      <c r="K173" s="3"/>
      <c r="L173" s="3"/>
      <c r="M173" s="3"/>
      <c r="N173" s="3"/>
      <c r="O173" s="3"/>
      <c r="P173" s="3"/>
      <c r="Q173" s="3"/>
      <c r="R173" s="3"/>
      <c r="S173" s="3"/>
      <c r="T173" s="3"/>
      <c r="U173" s="3"/>
      <c r="V173" s="3"/>
      <c r="W173" s="3"/>
      <c r="X173" s="3"/>
      <c r="Y173" s="3"/>
      <c r="Z173" s="3"/>
    </row>
    <row r="174" spans="1:26">
      <c r="A174" s="131">
        <v>173</v>
      </c>
      <c r="B174" s="74" t="s">
        <v>1729</v>
      </c>
      <c r="C174" s="347">
        <v>42909</v>
      </c>
      <c r="D174" s="113" t="s">
        <v>1730</v>
      </c>
      <c r="E174" s="45"/>
      <c r="F174" s="126"/>
      <c r="G174" s="3"/>
      <c r="H174" s="3"/>
      <c r="I174" s="3"/>
      <c r="J174" s="3"/>
      <c r="K174" s="3"/>
      <c r="L174" s="3"/>
      <c r="M174" s="3"/>
      <c r="N174" s="3"/>
      <c r="O174" s="3"/>
      <c r="P174" s="3"/>
      <c r="Q174" s="3"/>
      <c r="R174" s="3"/>
      <c r="S174" s="3"/>
      <c r="T174" s="3"/>
      <c r="U174" s="3"/>
      <c r="V174" s="3"/>
      <c r="W174" s="3"/>
      <c r="X174" s="3"/>
      <c r="Y174" s="3"/>
      <c r="Z174" s="3"/>
    </row>
    <row r="175" spans="1:26">
      <c r="A175" s="131">
        <v>174</v>
      </c>
      <c r="B175" s="74" t="s">
        <v>1731</v>
      </c>
      <c r="C175" s="347">
        <v>42914</v>
      </c>
      <c r="D175" s="113" t="s">
        <v>227</v>
      </c>
      <c r="E175" s="45"/>
      <c r="F175" s="126"/>
      <c r="G175" s="3"/>
      <c r="H175" s="3"/>
      <c r="I175" s="3"/>
      <c r="J175" s="3"/>
      <c r="K175" s="3"/>
      <c r="L175" s="3"/>
      <c r="M175" s="3"/>
      <c r="N175" s="3"/>
      <c r="O175" s="3"/>
      <c r="P175" s="3"/>
      <c r="Q175" s="3"/>
      <c r="R175" s="3"/>
      <c r="S175" s="3"/>
      <c r="T175" s="3"/>
      <c r="U175" s="3"/>
      <c r="V175" s="3"/>
      <c r="W175" s="3"/>
      <c r="X175" s="3"/>
      <c r="Y175" s="3"/>
      <c r="Z175" s="3"/>
    </row>
    <row r="176" spans="1:26">
      <c r="A176" s="131">
        <v>175</v>
      </c>
      <c r="B176" s="74" t="s">
        <v>1471</v>
      </c>
      <c r="C176" s="347">
        <v>42937</v>
      </c>
      <c r="D176" s="113" t="s">
        <v>1732</v>
      </c>
      <c r="E176" s="45"/>
      <c r="F176" s="126"/>
      <c r="G176" s="3"/>
      <c r="H176" s="3"/>
      <c r="I176" s="3"/>
      <c r="J176" s="3"/>
      <c r="K176" s="3"/>
      <c r="L176" s="3"/>
      <c r="M176" s="3"/>
      <c r="N176" s="3"/>
      <c r="O176" s="3"/>
      <c r="P176" s="3"/>
      <c r="Q176" s="3"/>
      <c r="R176" s="3"/>
      <c r="S176" s="3"/>
      <c r="T176" s="3"/>
      <c r="U176" s="3"/>
      <c r="V176" s="3"/>
      <c r="W176" s="3"/>
      <c r="X176" s="3"/>
      <c r="Y176" s="3"/>
      <c r="Z176" s="3"/>
    </row>
    <row r="177" spans="1:26">
      <c r="A177" s="131">
        <v>176</v>
      </c>
      <c r="B177" s="74" t="s">
        <v>1733</v>
      </c>
      <c r="C177" s="347">
        <v>42968</v>
      </c>
      <c r="D177" s="113" t="s">
        <v>1416</v>
      </c>
      <c r="E177" s="45"/>
      <c r="F177" s="126"/>
      <c r="G177" s="3"/>
      <c r="H177" s="3"/>
      <c r="I177" s="3"/>
      <c r="J177" s="3"/>
      <c r="K177" s="3"/>
      <c r="L177" s="3"/>
      <c r="M177" s="3"/>
      <c r="N177" s="3"/>
      <c r="O177" s="3"/>
      <c r="P177" s="3"/>
      <c r="Q177" s="3"/>
      <c r="R177" s="3"/>
      <c r="S177" s="3"/>
      <c r="T177" s="3"/>
      <c r="U177" s="3"/>
      <c r="V177" s="3"/>
      <c r="W177" s="3"/>
      <c r="X177" s="3"/>
      <c r="Y177" s="3"/>
      <c r="Z177" s="3"/>
    </row>
    <row r="178" spans="1:26">
      <c r="A178" s="131">
        <v>177</v>
      </c>
      <c r="B178" s="74" t="s">
        <v>1734</v>
      </c>
      <c r="C178" s="347">
        <f>DATE(2017,8,22)</f>
        <v>42969</v>
      </c>
      <c r="D178" s="113" t="s">
        <v>1735</v>
      </c>
      <c r="E178" s="45"/>
      <c r="F178" s="126"/>
      <c r="G178" s="3"/>
      <c r="H178" s="3"/>
      <c r="I178" s="3"/>
      <c r="J178" s="3"/>
      <c r="K178" s="3"/>
      <c r="L178" s="3"/>
      <c r="M178" s="3"/>
      <c r="N178" s="3"/>
      <c r="O178" s="3"/>
      <c r="P178" s="3"/>
      <c r="Q178" s="3"/>
      <c r="R178" s="3"/>
      <c r="S178" s="3"/>
      <c r="T178" s="3"/>
      <c r="U178" s="3"/>
      <c r="V178" s="3"/>
      <c r="W178" s="3"/>
      <c r="X178" s="3"/>
      <c r="Y178" s="3"/>
      <c r="Z178" s="3"/>
    </row>
    <row r="179" spans="1:26">
      <c r="A179" s="131">
        <v>178</v>
      </c>
      <c r="B179" s="74" t="s">
        <v>1736</v>
      </c>
      <c r="C179" s="347">
        <f t="shared" ref="C179:C181" si="0">DATE(2017,8,22)</f>
        <v>42969</v>
      </c>
      <c r="D179" s="113" t="s">
        <v>1416</v>
      </c>
      <c r="E179" s="45"/>
      <c r="F179" s="126"/>
      <c r="G179" s="3"/>
      <c r="H179" s="3"/>
      <c r="I179" s="3"/>
      <c r="J179" s="3"/>
      <c r="K179" s="3"/>
      <c r="L179" s="3"/>
      <c r="M179" s="3"/>
      <c r="N179" s="3"/>
      <c r="O179" s="3"/>
      <c r="P179" s="3"/>
      <c r="Q179" s="3"/>
      <c r="R179" s="3"/>
      <c r="S179" s="3"/>
      <c r="T179" s="3"/>
      <c r="U179" s="3"/>
      <c r="V179" s="3"/>
      <c r="W179" s="3"/>
      <c r="X179" s="3"/>
      <c r="Y179" s="3"/>
      <c r="Z179" s="3"/>
    </row>
    <row r="180" spans="1:26">
      <c r="A180" s="131">
        <v>179</v>
      </c>
      <c r="B180" s="74" t="s">
        <v>1737</v>
      </c>
      <c r="C180" s="347">
        <f t="shared" si="0"/>
        <v>42969</v>
      </c>
      <c r="D180" s="113" t="s">
        <v>1738</v>
      </c>
      <c r="E180" s="45"/>
      <c r="F180" s="126"/>
      <c r="G180" s="3"/>
      <c r="H180" s="3"/>
      <c r="I180" s="3"/>
      <c r="J180" s="3"/>
      <c r="K180" s="3"/>
      <c r="L180" s="3"/>
      <c r="M180" s="3"/>
      <c r="N180" s="3"/>
      <c r="O180" s="3"/>
      <c r="P180" s="3"/>
      <c r="Q180" s="3"/>
      <c r="R180" s="3"/>
      <c r="S180" s="3"/>
      <c r="T180" s="3"/>
      <c r="U180" s="3"/>
      <c r="V180" s="3"/>
      <c r="W180" s="3"/>
      <c r="X180" s="3"/>
      <c r="Y180" s="3"/>
      <c r="Z180" s="3"/>
    </row>
    <row r="181" spans="1:26">
      <c r="A181" s="131">
        <v>180</v>
      </c>
      <c r="B181" s="74" t="s">
        <v>1739</v>
      </c>
      <c r="C181" s="347">
        <f t="shared" si="0"/>
        <v>42969</v>
      </c>
      <c r="D181" s="113" t="s">
        <v>1740</v>
      </c>
      <c r="E181" s="45"/>
      <c r="F181" s="126"/>
      <c r="G181" s="3"/>
      <c r="H181" s="3"/>
      <c r="I181" s="3"/>
      <c r="J181" s="3"/>
      <c r="K181" s="3"/>
      <c r="L181" s="3"/>
      <c r="M181" s="3"/>
      <c r="N181" s="3"/>
      <c r="O181" s="3"/>
      <c r="P181" s="3"/>
      <c r="Q181" s="3"/>
      <c r="R181" s="3"/>
      <c r="S181" s="3"/>
      <c r="T181" s="3"/>
      <c r="U181" s="3"/>
      <c r="V181" s="3"/>
      <c r="W181" s="3"/>
      <c r="X181" s="3"/>
      <c r="Y181" s="3"/>
      <c r="Z181" s="3"/>
    </row>
    <row r="182" spans="1:26">
      <c r="A182" s="131">
        <v>181</v>
      </c>
      <c r="B182" s="74" t="s">
        <v>1741</v>
      </c>
      <c r="C182" s="347">
        <f>DATE(2017,8,30)</f>
        <v>42977</v>
      </c>
      <c r="D182" s="113" t="s">
        <v>1742</v>
      </c>
      <c r="E182" s="45"/>
      <c r="F182" s="126"/>
      <c r="G182" s="3"/>
      <c r="H182" s="3"/>
      <c r="I182" s="3"/>
      <c r="J182" s="3"/>
      <c r="K182" s="3"/>
      <c r="L182" s="3"/>
      <c r="M182" s="3"/>
      <c r="N182" s="3"/>
      <c r="O182" s="3"/>
      <c r="P182" s="3"/>
      <c r="Q182" s="3"/>
      <c r="R182" s="3"/>
      <c r="S182" s="3"/>
      <c r="T182" s="3"/>
      <c r="U182" s="3"/>
      <c r="V182" s="3"/>
      <c r="W182" s="3"/>
      <c r="X182" s="3"/>
      <c r="Y182" s="3"/>
      <c r="Z182" s="3"/>
    </row>
    <row r="183" spans="1:26">
      <c r="A183" s="131">
        <v>182</v>
      </c>
      <c r="B183" s="74" t="s">
        <v>1743</v>
      </c>
      <c r="C183" s="347">
        <f>DATE(2017,8,30)</f>
        <v>42977</v>
      </c>
      <c r="D183" s="113" t="s">
        <v>1744</v>
      </c>
      <c r="E183" s="45"/>
      <c r="F183" s="126"/>
      <c r="G183" s="3"/>
      <c r="H183" s="3"/>
      <c r="I183" s="3"/>
      <c r="J183" s="3"/>
      <c r="K183" s="3"/>
      <c r="L183" s="3"/>
      <c r="M183" s="3"/>
      <c r="N183" s="3"/>
      <c r="O183" s="3"/>
      <c r="P183" s="3"/>
      <c r="Q183" s="3"/>
      <c r="R183" s="3"/>
      <c r="S183" s="3"/>
      <c r="T183" s="3"/>
      <c r="U183" s="3"/>
      <c r="V183" s="3"/>
      <c r="W183" s="3"/>
      <c r="X183" s="3"/>
      <c r="Y183" s="3"/>
      <c r="Z183" s="3"/>
    </row>
    <row r="184" spans="1:26">
      <c r="A184" s="131">
        <v>183</v>
      </c>
      <c r="B184" s="74" t="s">
        <v>1745</v>
      </c>
      <c r="C184" s="347">
        <v>42744</v>
      </c>
      <c r="D184" s="113" t="s">
        <v>4883</v>
      </c>
      <c r="E184" s="45"/>
      <c r="F184" s="126"/>
      <c r="G184" s="3"/>
      <c r="H184" s="3"/>
      <c r="I184" s="3"/>
      <c r="J184" s="3"/>
      <c r="K184" s="3"/>
      <c r="L184" s="3"/>
      <c r="M184" s="3"/>
      <c r="N184" s="3"/>
      <c r="O184" s="3"/>
      <c r="P184" s="3"/>
      <c r="Q184" s="3"/>
      <c r="R184" s="3"/>
      <c r="S184" s="3"/>
      <c r="T184" s="3"/>
      <c r="U184" s="3"/>
      <c r="V184" s="3"/>
      <c r="W184" s="3"/>
      <c r="X184" s="3"/>
      <c r="Y184" s="3"/>
      <c r="Z184" s="3"/>
    </row>
    <row r="185" spans="1:26">
      <c r="A185" s="131">
        <v>184</v>
      </c>
      <c r="B185" s="74" t="s">
        <v>1746</v>
      </c>
      <c r="C185" s="347">
        <v>42744</v>
      </c>
      <c r="D185" s="113" t="s">
        <v>4882</v>
      </c>
      <c r="E185" s="45"/>
      <c r="F185" s="126"/>
      <c r="G185" s="3"/>
      <c r="H185" s="3"/>
      <c r="I185" s="3"/>
      <c r="J185" s="3"/>
      <c r="K185" s="3"/>
      <c r="L185" s="3"/>
      <c r="M185" s="3"/>
      <c r="N185" s="3"/>
      <c r="O185" s="3"/>
      <c r="P185" s="3"/>
      <c r="Q185" s="3"/>
      <c r="R185" s="3"/>
      <c r="S185" s="3"/>
      <c r="T185" s="3"/>
      <c r="U185" s="3"/>
      <c r="V185" s="3"/>
      <c r="W185" s="3"/>
      <c r="X185" s="3"/>
      <c r="Y185" s="3"/>
      <c r="Z185" s="3"/>
    </row>
    <row r="186" spans="1:26">
      <c r="A186" s="131">
        <v>185</v>
      </c>
      <c r="B186" s="74" t="s">
        <v>1747</v>
      </c>
      <c r="C186" s="347">
        <v>42744</v>
      </c>
      <c r="D186" s="113" t="s">
        <v>1748</v>
      </c>
      <c r="E186" s="45"/>
      <c r="F186" s="126"/>
      <c r="G186" s="3"/>
      <c r="H186" s="3"/>
      <c r="I186" s="3"/>
      <c r="J186" s="3"/>
      <c r="K186" s="3"/>
      <c r="L186" s="3"/>
      <c r="M186" s="3"/>
      <c r="N186" s="3"/>
      <c r="O186" s="3"/>
      <c r="P186" s="3"/>
      <c r="Q186" s="3"/>
      <c r="R186" s="3"/>
      <c r="S186" s="3"/>
      <c r="T186" s="3"/>
      <c r="U186" s="3"/>
      <c r="V186" s="3"/>
      <c r="W186" s="3"/>
      <c r="X186" s="3"/>
      <c r="Y186" s="3"/>
      <c r="Z186" s="3"/>
    </row>
    <row r="187" spans="1:26">
      <c r="A187" s="131">
        <v>186</v>
      </c>
      <c r="B187" s="74" t="s">
        <v>1749</v>
      </c>
      <c r="C187" s="347">
        <v>42956</v>
      </c>
      <c r="D187" s="113" t="s">
        <v>1631</v>
      </c>
      <c r="E187" s="45"/>
      <c r="F187" s="126"/>
      <c r="G187" s="3"/>
      <c r="H187" s="3"/>
      <c r="I187" s="3"/>
      <c r="J187" s="3"/>
      <c r="K187" s="3"/>
      <c r="L187" s="3"/>
      <c r="M187" s="3"/>
      <c r="N187" s="3"/>
      <c r="O187" s="3"/>
      <c r="P187" s="3"/>
      <c r="Q187" s="3"/>
      <c r="R187" s="3"/>
      <c r="S187" s="3"/>
      <c r="T187" s="3"/>
      <c r="U187" s="3"/>
      <c r="V187" s="3"/>
      <c r="W187" s="3"/>
      <c r="X187" s="3"/>
      <c r="Y187" s="3"/>
      <c r="Z187" s="3"/>
    </row>
    <row r="188" spans="1:26">
      <c r="A188" s="131">
        <v>187</v>
      </c>
      <c r="B188" s="74" t="s">
        <v>1750</v>
      </c>
      <c r="C188" s="347">
        <v>42956</v>
      </c>
      <c r="D188" s="113" t="s">
        <v>1751</v>
      </c>
      <c r="E188" s="45"/>
      <c r="F188" s="126"/>
      <c r="G188" s="3"/>
      <c r="H188" s="3"/>
      <c r="I188" s="3"/>
      <c r="J188" s="3"/>
      <c r="K188" s="3"/>
      <c r="L188" s="3"/>
      <c r="M188" s="3"/>
      <c r="N188" s="3"/>
      <c r="O188" s="3"/>
      <c r="P188" s="3"/>
      <c r="Q188" s="3"/>
      <c r="R188" s="3"/>
      <c r="S188" s="3"/>
      <c r="T188" s="3"/>
      <c r="U188" s="3"/>
      <c r="V188" s="3"/>
      <c r="W188" s="3"/>
      <c r="X188" s="3"/>
      <c r="Y188" s="3"/>
      <c r="Z188" s="3"/>
    </row>
    <row r="189" spans="1:26">
      <c r="A189" s="131">
        <v>188</v>
      </c>
      <c r="B189" s="74" t="s">
        <v>1752</v>
      </c>
      <c r="C189" s="347">
        <f>DATE(2017,9,13)</f>
        <v>42991</v>
      </c>
      <c r="D189" s="113" t="s">
        <v>1753</v>
      </c>
      <c r="E189" s="45"/>
      <c r="F189" s="126"/>
      <c r="G189" s="3"/>
      <c r="H189" s="3"/>
      <c r="I189" s="3"/>
      <c r="J189" s="3"/>
      <c r="K189" s="3"/>
      <c r="L189" s="3"/>
      <c r="M189" s="3"/>
      <c r="N189" s="3"/>
      <c r="O189" s="3"/>
      <c r="P189" s="3"/>
      <c r="Q189" s="3"/>
      <c r="R189" s="3"/>
      <c r="S189" s="3"/>
      <c r="T189" s="3"/>
      <c r="U189" s="3"/>
      <c r="V189" s="3"/>
      <c r="W189" s="3"/>
      <c r="X189" s="3"/>
      <c r="Y189" s="3"/>
      <c r="Z189" s="3"/>
    </row>
    <row r="190" spans="1:26">
      <c r="A190" s="131">
        <v>189</v>
      </c>
      <c r="B190" s="74" t="s">
        <v>1754</v>
      </c>
      <c r="C190" s="347">
        <v>43003</v>
      </c>
      <c r="D190" s="113" t="s">
        <v>1704</v>
      </c>
      <c r="E190" s="45"/>
      <c r="F190" s="126"/>
      <c r="G190" s="3"/>
      <c r="H190" s="3"/>
      <c r="I190" s="3"/>
      <c r="J190" s="3"/>
      <c r="K190" s="3"/>
      <c r="L190" s="3"/>
      <c r="M190" s="3"/>
      <c r="N190" s="3"/>
      <c r="O190" s="3"/>
      <c r="P190" s="3"/>
      <c r="Q190" s="3"/>
      <c r="R190" s="3"/>
      <c r="S190" s="3"/>
      <c r="T190" s="3"/>
      <c r="U190" s="3"/>
      <c r="V190" s="3"/>
      <c r="W190" s="3"/>
      <c r="X190" s="3"/>
      <c r="Y190" s="3"/>
      <c r="Z190" s="3"/>
    </row>
    <row r="191" spans="1:26">
      <c r="A191" s="131">
        <v>190</v>
      </c>
      <c r="B191" s="74" t="s">
        <v>1755</v>
      </c>
      <c r="C191" s="347">
        <v>43047</v>
      </c>
      <c r="D191" s="113" t="s">
        <v>227</v>
      </c>
      <c r="E191" s="45"/>
      <c r="F191" s="126"/>
      <c r="G191" s="3"/>
      <c r="H191" s="3"/>
      <c r="I191" s="3"/>
      <c r="J191" s="3"/>
      <c r="K191" s="3"/>
      <c r="L191" s="3"/>
      <c r="M191" s="3"/>
      <c r="N191" s="3"/>
      <c r="O191" s="3"/>
      <c r="P191" s="3"/>
      <c r="Q191" s="3"/>
      <c r="R191" s="3"/>
      <c r="S191" s="3"/>
      <c r="T191" s="3"/>
      <c r="U191" s="3"/>
      <c r="V191" s="3"/>
      <c r="W191" s="3"/>
      <c r="X191" s="3"/>
      <c r="Y191" s="3"/>
      <c r="Z191" s="3"/>
    </row>
    <row r="192" spans="1:26">
      <c r="A192" s="131">
        <v>191</v>
      </c>
      <c r="B192" s="74" t="s">
        <v>1756</v>
      </c>
      <c r="C192" s="347">
        <v>43050</v>
      </c>
      <c r="D192" s="113" t="s">
        <v>1416</v>
      </c>
      <c r="E192" s="45"/>
      <c r="F192" s="126"/>
      <c r="G192" s="3"/>
      <c r="H192" s="3"/>
      <c r="I192" s="3"/>
      <c r="J192" s="3"/>
      <c r="K192" s="3"/>
      <c r="L192" s="3"/>
      <c r="M192" s="3"/>
      <c r="N192" s="3"/>
      <c r="O192" s="3"/>
      <c r="P192" s="3"/>
      <c r="Q192" s="3"/>
      <c r="R192" s="3"/>
      <c r="S192" s="3"/>
      <c r="T192" s="3"/>
      <c r="U192" s="3"/>
      <c r="V192" s="3"/>
      <c r="W192" s="3"/>
      <c r="X192" s="3"/>
      <c r="Y192" s="3"/>
      <c r="Z192" s="3"/>
    </row>
    <row r="193" spans="1:26" ht="28.8">
      <c r="A193" s="131">
        <v>192</v>
      </c>
      <c r="B193" s="2" t="s">
        <v>1425</v>
      </c>
      <c r="C193" s="347">
        <v>43052</v>
      </c>
      <c r="D193" s="113" t="s">
        <v>1757</v>
      </c>
      <c r="E193" s="45"/>
      <c r="F193" s="126"/>
      <c r="G193" s="3"/>
      <c r="H193" s="3"/>
      <c r="I193" s="3"/>
      <c r="J193" s="3"/>
      <c r="K193" s="3"/>
      <c r="L193" s="3"/>
      <c r="M193" s="3"/>
      <c r="N193" s="3"/>
      <c r="O193" s="3"/>
      <c r="P193" s="3"/>
      <c r="Q193" s="3"/>
      <c r="R193" s="3"/>
      <c r="S193" s="3"/>
      <c r="T193" s="3"/>
      <c r="U193" s="3"/>
      <c r="V193" s="3"/>
      <c r="W193" s="3"/>
      <c r="X193" s="3"/>
      <c r="Y193" s="3"/>
      <c r="Z193" s="3"/>
    </row>
    <row r="194" spans="1:26">
      <c r="A194" s="131">
        <v>193</v>
      </c>
      <c r="B194" s="74" t="s">
        <v>1758</v>
      </c>
      <c r="C194" s="164">
        <v>43077</v>
      </c>
      <c r="D194" s="113" t="s">
        <v>1759</v>
      </c>
      <c r="E194" s="45"/>
      <c r="F194" s="3"/>
      <c r="G194" s="3"/>
      <c r="H194" s="3"/>
      <c r="I194" s="3"/>
      <c r="J194" s="3"/>
      <c r="K194" s="3"/>
      <c r="L194" s="3"/>
      <c r="M194" s="3"/>
      <c r="N194" s="3"/>
      <c r="O194" s="3"/>
      <c r="P194" s="3"/>
      <c r="Q194" s="3"/>
      <c r="R194" s="3"/>
      <c r="S194" s="3"/>
      <c r="T194" s="3"/>
      <c r="U194" s="3"/>
      <c r="V194" s="3"/>
      <c r="W194" s="3"/>
      <c r="X194" s="3"/>
      <c r="Y194" s="3"/>
      <c r="Z194" s="3"/>
    </row>
    <row r="195" spans="1:26">
      <c r="A195" s="131">
        <v>194</v>
      </c>
      <c r="B195" s="74" t="s">
        <v>1760</v>
      </c>
      <c r="C195" s="347">
        <v>43082</v>
      </c>
      <c r="D195" s="113" t="s">
        <v>1416</v>
      </c>
      <c r="E195" s="45"/>
      <c r="F195" s="126"/>
      <c r="G195" s="3"/>
      <c r="H195" s="3"/>
      <c r="I195" s="3"/>
      <c r="J195" s="3"/>
      <c r="K195" s="3"/>
      <c r="L195" s="3"/>
      <c r="M195" s="3"/>
      <c r="N195" s="3"/>
      <c r="O195" s="3"/>
      <c r="P195" s="3"/>
      <c r="Q195" s="3"/>
      <c r="R195" s="3"/>
      <c r="S195" s="3"/>
      <c r="T195" s="3"/>
      <c r="U195" s="3"/>
      <c r="V195" s="3"/>
      <c r="W195" s="3"/>
      <c r="X195" s="3"/>
      <c r="Y195" s="3"/>
      <c r="Z195" s="3"/>
    </row>
    <row r="196" spans="1:26">
      <c r="A196" s="131">
        <v>195</v>
      </c>
      <c r="B196" s="74" t="s">
        <v>1761</v>
      </c>
      <c r="C196" s="347">
        <v>43087</v>
      </c>
      <c r="D196" s="113" t="s">
        <v>1762</v>
      </c>
      <c r="E196" s="45"/>
      <c r="F196" s="126"/>
      <c r="G196" s="3"/>
      <c r="H196" s="3"/>
      <c r="I196" s="3"/>
      <c r="J196" s="3"/>
      <c r="K196" s="3"/>
      <c r="L196" s="3"/>
      <c r="M196" s="3"/>
      <c r="N196" s="3"/>
      <c r="O196" s="3"/>
      <c r="P196" s="3"/>
      <c r="Q196" s="3"/>
      <c r="R196" s="3"/>
      <c r="S196" s="3"/>
      <c r="T196" s="3"/>
      <c r="U196" s="3"/>
      <c r="V196" s="3"/>
      <c r="W196" s="3"/>
      <c r="X196" s="3"/>
      <c r="Y196" s="3"/>
      <c r="Z196" s="3"/>
    </row>
    <row r="197" spans="1:26">
      <c r="A197" s="131">
        <v>196</v>
      </c>
      <c r="B197" s="74" t="s">
        <v>1763</v>
      </c>
      <c r="C197" s="347">
        <v>43087</v>
      </c>
      <c r="D197" s="113" t="s">
        <v>1764</v>
      </c>
      <c r="E197" s="45"/>
      <c r="F197" s="126"/>
      <c r="G197" s="3"/>
      <c r="H197" s="3"/>
      <c r="I197" s="3"/>
      <c r="J197" s="3"/>
      <c r="K197" s="3"/>
      <c r="L197" s="3"/>
      <c r="M197" s="3"/>
      <c r="N197" s="3"/>
      <c r="O197" s="3"/>
      <c r="P197" s="3"/>
      <c r="Q197" s="3"/>
      <c r="R197" s="3"/>
      <c r="S197" s="3"/>
      <c r="T197" s="3"/>
      <c r="U197" s="3"/>
      <c r="V197" s="3"/>
      <c r="W197" s="3"/>
      <c r="X197" s="3"/>
      <c r="Y197" s="3"/>
      <c r="Z197" s="3"/>
    </row>
    <row r="198" spans="1:26">
      <c r="A198" s="131">
        <v>197</v>
      </c>
      <c r="B198" s="2" t="s">
        <v>1765</v>
      </c>
      <c r="C198" s="347">
        <v>43103</v>
      </c>
      <c r="D198" s="113" t="s">
        <v>1766</v>
      </c>
      <c r="E198" s="45"/>
      <c r="F198" s="126"/>
      <c r="G198" s="3"/>
      <c r="H198" s="3"/>
      <c r="I198" s="3"/>
      <c r="J198" s="3"/>
      <c r="K198" s="3"/>
      <c r="L198" s="3"/>
      <c r="M198" s="3"/>
      <c r="N198" s="3"/>
      <c r="O198" s="3"/>
      <c r="P198" s="3"/>
      <c r="Q198" s="3"/>
      <c r="R198" s="3"/>
      <c r="S198" s="3"/>
      <c r="T198" s="3"/>
      <c r="U198" s="3"/>
      <c r="V198" s="3"/>
      <c r="W198" s="3"/>
      <c r="X198" s="3"/>
      <c r="Y198" s="3"/>
      <c r="Z198" s="3"/>
    </row>
    <row r="199" spans="1:26">
      <c r="A199" s="131">
        <v>198</v>
      </c>
      <c r="B199" s="74" t="s">
        <v>1767</v>
      </c>
      <c r="C199" s="347">
        <v>43105</v>
      </c>
      <c r="D199" s="113" t="s">
        <v>1768</v>
      </c>
      <c r="E199" s="45"/>
      <c r="F199" s="126"/>
      <c r="G199" s="3"/>
      <c r="H199" s="3"/>
      <c r="I199" s="3"/>
      <c r="J199" s="3"/>
      <c r="K199" s="3"/>
      <c r="L199" s="3"/>
      <c r="M199" s="3"/>
      <c r="N199" s="3"/>
      <c r="O199" s="3"/>
      <c r="P199" s="3"/>
      <c r="Q199" s="3"/>
      <c r="R199" s="3"/>
      <c r="S199" s="3"/>
      <c r="T199" s="3"/>
      <c r="U199" s="3"/>
      <c r="V199" s="3"/>
      <c r="W199" s="3"/>
      <c r="X199" s="3"/>
      <c r="Y199" s="3"/>
      <c r="Z199" s="3"/>
    </row>
    <row r="200" spans="1:26">
      <c r="A200" s="131">
        <v>199</v>
      </c>
      <c r="B200" s="74" t="s">
        <v>1769</v>
      </c>
      <c r="C200" s="347">
        <v>43129</v>
      </c>
      <c r="D200" s="113" t="s">
        <v>1770</v>
      </c>
      <c r="E200" s="45"/>
      <c r="F200" s="126"/>
      <c r="G200" s="3"/>
      <c r="H200" s="3"/>
      <c r="I200" s="3"/>
      <c r="J200" s="3"/>
      <c r="K200" s="3"/>
      <c r="L200" s="3"/>
      <c r="M200" s="3"/>
      <c r="N200" s="3"/>
      <c r="O200" s="3"/>
      <c r="P200" s="3"/>
      <c r="Q200" s="3"/>
      <c r="R200" s="3"/>
      <c r="S200" s="3"/>
      <c r="T200" s="3"/>
      <c r="U200" s="3"/>
      <c r="V200" s="3"/>
      <c r="W200" s="3"/>
      <c r="X200" s="3"/>
      <c r="Y200" s="3"/>
      <c r="Z200" s="3"/>
    </row>
    <row r="201" spans="1:26">
      <c r="A201" s="131">
        <v>200</v>
      </c>
      <c r="B201" s="74" t="s">
        <v>1771</v>
      </c>
      <c r="C201" s="347">
        <v>43129</v>
      </c>
      <c r="D201" s="113" t="s">
        <v>1772</v>
      </c>
      <c r="E201" s="45"/>
      <c r="F201" s="126"/>
      <c r="G201" s="3"/>
      <c r="H201" s="3"/>
      <c r="I201" s="3"/>
      <c r="J201" s="3"/>
      <c r="K201" s="3"/>
      <c r="L201" s="3"/>
      <c r="M201" s="3"/>
      <c r="N201" s="3"/>
      <c r="O201" s="3"/>
      <c r="P201" s="3"/>
      <c r="Q201" s="3"/>
      <c r="R201" s="3"/>
      <c r="S201" s="3"/>
      <c r="T201" s="3"/>
      <c r="U201" s="3"/>
      <c r="V201" s="3"/>
      <c r="W201" s="3"/>
      <c r="X201" s="3"/>
      <c r="Y201" s="3"/>
      <c r="Z201" s="3"/>
    </row>
    <row r="202" spans="1:26">
      <c r="A202" s="131">
        <v>201</v>
      </c>
      <c r="B202" s="74" t="s">
        <v>1773</v>
      </c>
      <c r="C202" s="347">
        <v>43140</v>
      </c>
      <c r="D202" s="113" t="s">
        <v>1774</v>
      </c>
      <c r="E202" s="45"/>
      <c r="F202" s="126"/>
      <c r="G202" s="3"/>
      <c r="H202" s="3"/>
      <c r="I202" s="3"/>
      <c r="J202" s="3"/>
      <c r="K202" s="3"/>
      <c r="L202" s="3"/>
      <c r="M202" s="3"/>
      <c r="N202" s="3"/>
      <c r="O202" s="3"/>
      <c r="P202" s="3"/>
      <c r="Q202" s="3"/>
      <c r="R202" s="3"/>
      <c r="S202" s="3"/>
      <c r="T202" s="3"/>
      <c r="U202" s="3"/>
      <c r="V202" s="3"/>
      <c r="W202" s="3"/>
      <c r="X202" s="3"/>
      <c r="Y202" s="3"/>
      <c r="Z202" s="3"/>
    </row>
    <row r="203" spans="1:26" ht="28.8">
      <c r="A203" s="131">
        <v>202</v>
      </c>
      <c r="B203" s="74" t="s">
        <v>1420</v>
      </c>
      <c r="C203" s="347">
        <v>43164</v>
      </c>
      <c r="D203" s="113" t="s">
        <v>4901</v>
      </c>
      <c r="E203" s="45"/>
      <c r="F203" s="126"/>
      <c r="G203" s="3"/>
      <c r="H203" s="3"/>
      <c r="I203" s="3"/>
      <c r="J203" s="3"/>
      <c r="K203" s="3"/>
      <c r="L203" s="3"/>
      <c r="M203" s="3"/>
      <c r="N203" s="3"/>
      <c r="O203" s="3"/>
      <c r="P203" s="3"/>
      <c r="Q203" s="3"/>
      <c r="R203" s="3"/>
      <c r="S203" s="3"/>
      <c r="T203" s="3"/>
      <c r="U203" s="3"/>
      <c r="V203" s="3"/>
      <c r="W203" s="3"/>
      <c r="X203" s="3"/>
      <c r="Y203" s="3"/>
      <c r="Z203" s="3"/>
    </row>
    <row r="204" spans="1:26">
      <c r="A204" s="131">
        <v>203</v>
      </c>
      <c r="B204" s="74" t="s">
        <v>1775</v>
      </c>
      <c r="C204" s="347">
        <v>43171</v>
      </c>
      <c r="D204" s="113" t="s">
        <v>1776</v>
      </c>
      <c r="E204" s="45"/>
      <c r="F204" s="126"/>
      <c r="G204" s="3"/>
      <c r="H204" s="3"/>
      <c r="I204" s="3"/>
      <c r="J204" s="3"/>
      <c r="K204" s="3"/>
      <c r="L204" s="3"/>
      <c r="M204" s="3"/>
      <c r="N204" s="3"/>
      <c r="O204" s="3"/>
      <c r="P204" s="3"/>
      <c r="Q204" s="3"/>
      <c r="R204" s="3"/>
      <c r="S204" s="3"/>
      <c r="T204" s="3"/>
      <c r="U204" s="3"/>
      <c r="V204" s="3"/>
      <c r="W204" s="3"/>
      <c r="X204" s="3"/>
      <c r="Y204" s="3"/>
      <c r="Z204" s="3"/>
    </row>
    <row r="205" spans="1:26">
      <c r="A205" s="131">
        <v>204</v>
      </c>
      <c r="B205" s="74" t="s">
        <v>1777</v>
      </c>
      <c r="C205" s="347">
        <v>43218</v>
      </c>
      <c r="D205" s="113" t="s">
        <v>1778</v>
      </c>
      <c r="E205" s="45"/>
      <c r="F205" s="126"/>
      <c r="G205" s="3"/>
      <c r="H205" s="3"/>
      <c r="I205" s="3"/>
      <c r="J205" s="3"/>
      <c r="K205" s="3"/>
      <c r="L205" s="3"/>
      <c r="M205" s="3"/>
      <c r="N205" s="3"/>
      <c r="O205" s="3"/>
      <c r="P205" s="3"/>
      <c r="Q205" s="3"/>
      <c r="R205" s="3"/>
      <c r="S205" s="3"/>
      <c r="T205" s="3"/>
      <c r="U205" s="3"/>
      <c r="V205" s="3"/>
      <c r="W205" s="3"/>
      <c r="X205" s="3"/>
      <c r="Y205" s="3"/>
      <c r="Z205" s="3"/>
    </row>
    <row r="206" spans="1:26">
      <c r="A206" s="131">
        <v>205</v>
      </c>
      <c r="B206" s="74" t="s">
        <v>1779</v>
      </c>
      <c r="C206" s="347">
        <f>DATE(2018,4,31)</f>
        <v>43221</v>
      </c>
      <c r="D206" s="113" t="s">
        <v>1780</v>
      </c>
      <c r="E206" s="45"/>
      <c r="F206" s="126"/>
      <c r="G206" s="3"/>
      <c r="H206" s="3"/>
      <c r="I206" s="3"/>
      <c r="J206" s="3"/>
      <c r="K206" s="3"/>
      <c r="L206" s="3"/>
      <c r="M206" s="3"/>
      <c r="N206" s="3"/>
      <c r="O206" s="3"/>
      <c r="P206" s="3"/>
      <c r="Q206" s="3"/>
      <c r="R206" s="3"/>
      <c r="S206" s="3"/>
      <c r="T206" s="3"/>
      <c r="U206" s="3"/>
      <c r="V206" s="3"/>
      <c r="W206" s="3"/>
      <c r="X206" s="3"/>
      <c r="Y206" s="3"/>
      <c r="Z206" s="3"/>
    </row>
    <row r="207" spans="1:26">
      <c r="A207" s="131">
        <v>206</v>
      </c>
      <c r="B207" s="74" t="s">
        <v>1781</v>
      </c>
      <c r="C207" s="347">
        <v>43221</v>
      </c>
      <c r="D207" s="113" t="s">
        <v>1782</v>
      </c>
      <c r="E207" s="45"/>
      <c r="F207" s="126"/>
      <c r="G207" s="3"/>
      <c r="H207" s="3"/>
      <c r="I207" s="3"/>
      <c r="J207" s="3"/>
      <c r="K207" s="3"/>
      <c r="L207" s="3"/>
      <c r="M207" s="3"/>
      <c r="N207" s="3"/>
      <c r="O207" s="3"/>
      <c r="P207" s="3"/>
      <c r="Q207" s="3"/>
      <c r="R207" s="3"/>
      <c r="S207" s="3"/>
      <c r="T207" s="3"/>
      <c r="U207" s="3"/>
      <c r="V207" s="3"/>
      <c r="W207" s="3"/>
      <c r="X207" s="3"/>
      <c r="Y207" s="3"/>
      <c r="Z207" s="3"/>
    </row>
    <row r="208" spans="1:26">
      <c r="A208" s="131">
        <v>207</v>
      </c>
      <c r="B208" s="74" t="s">
        <v>1783</v>
      </c>
      <c r="C208" s="347">
        <v>43223</v>
      </c>
      <c r="D208" s="113" t="s">
        <v>1784</v>
      </c>
      <c r="E208" s="45"/>
      <c r="F208" s="126"/>
      <c r="G208" s="3"/>
      <c r="H208" s="3"/>
      <c r="I208" s="3"/>
      <c r="J208" s="3"/>
      <c r="K208" s="3"/>
      <c r="L208" s="3"/>
      <c r="M208" s="3"/>
      <c r="N208" s="3"/>
      <c r="O208" s="3"/>
      <c r="P208" s="3"/>
      <c r="Q208" s="3"/>
      <c r="R208" s="3"/>
      <c r="S208" s="3"/>
      <c r="T208" s="3"/>
      <c r="U208" s="3"/>
      <c r="V208" s="3"/>
      <c r="W208" s="3"/>
      <c r="X208" s="3"/>
      <c r="Y208" s="3"/>
      <c r="Z208" s="3"/>
    </row>
    <row r="209" spans="1:26">
      <c r="A209" s="131">
        <v>208</v>
      </c>
      <c r="B209" s="74" t="s">
        <v>1785</v>
      </c>
      <c r="C209" s="347">
        <v>43245</v>
      </c>
      <c r="D209" s="113" t="s">
        <v>1786</v>
      </c>
      <c r="E209" s="45"/>
      <c r="F209" s="126"/>
      <c r="G209" s="3"/>
      <c r="H209" s="3"/>
      <c r="I209" s="3"/>
      <c r="J209" s="3"/>
      <c r="K209" s="3"/>
      <c r="L209" s="3"/>
      <c r="M209" s="3"/>
      <c r="N209" s="3"/>
      <c r="O209" s="3"/>
      <c r="P209" s="3"/>
      <c r="Q209" s="3"/>
      <c r="R209" s="3"/>
      <c r="S209" s="3"/>
      <c r="T209" s="3"/>
      <c r="U209" s="3"/>
      <c r="V209" s="3"/>
      <c r="W209" s="3"/>
      <c r="X209" s="3"/>
      <c r="Y209" s="3"/>
      <c r="Z209" s="3"/>
    </row>
    <row r="210" spans="1:26">
      <c r="A210" s="131">
        <v>209</v>
      </c>
      <c r="B210" s="74" t="s">
        <v>1787</v>
      </c>
      <c r="C210" s="347">
        <v>43257</v>
      </c>
      <c r="D210" s="113" t="s">
        <v>1788</v>
      </c>
      <c r="E210" s="45"/>
      <c r="F210" s="126"/>
      <c r="G210" s="3"/>
      <c r="H210" s="3"/>
      <c r="I210" s="3"/>
      <c r="J210" s="3"/>
      <c r="K210" s="3"/>
      <c r="L210" s="3"/>
      <c r="M210" s="3"/>
      <c r="N210" s="3"/>
      <c r="O210" s="3"/>
      <c r="P210" s="3"/>
      <c r="Q210" s="3"/>
      <c r="R210" s="3"/>
      <c r="S210" s="3"/>
      <c r="T210" s="3"/>
      <c r="U210" s="3"/>
      <c r="V210" s="3"/>
      <c r="W210" s="3"/>
      <c r="X210" s="3"/>
      <c r="Y210" s="3"/>
      <c r="Z210" s="3"/>
    </row>
    <row r="211" spans="1:26">
      <c r="A211" s="131">
        <v>210</v>
      </c>
      <c r="B211" s="74" t="s">
        <v>1789</v>
      </c>
      <c r="C211" s="347">
        <v>43265</v>
      </c>
      <c r="D211" s="113" t="s">
        <v>1790</v>
      </c>
      <c r="E211" s="45"/>
      <c r="F211" s="126"/>
      <c r="G211" s="3"/>
      <c r="H211" s="3"/>
      <c r="I211" s="3"/>
      <c r="J211" s="3"/>
      <c r="K211" s="3"/>
      <c r="L211" s="3"/>
      <c r="M211" s="3"/>
      <c r="N211" s="3"/>
      <c r="O211" s="3"/>
      <c r="P211" s="3"/>
      <c r="Q211" s="3"/>
      <c r="R211" s="3"/>
      <c r="S211" s="3"/>
      <c r="T211" s="3"/>
      <c r="U211" s="3"/>
      <c r="V211" s="3"/>
      <c r="W211" s="3"/>
      <c r="X211" s="3"/>
      <c r="Y211" s="3"/>
      <c r="Z211" s="3"/>
    </row>
    <row r="212" spans="1:26">
      <c r="A212" s="131">
        <v>211</v>
      </c>
      <c r="B212" s="74" t="s">
        <v>1791</v>
      </c>
      <c r="C212" s="347">
        <v>43311</v>
      </c>
      <c r="D212" s="113" t="s">
        <v>1792</v>
      </c>
      <c r="E212" s="45"/>
      <c r="F212" s="126"/>
      <c r="G212" s="3"/>
      <c r="H212" s="3"/>
      <c r="I212" s="3"/>
      <c r="J212" s="3"/>
      <c r="K212" s="3"/>
      <c r="L212" s="3"/>
      <c r="M212" s="3"/>
      <c r="N212" s="3"/>
      <c r="O212" s="3"/>
      <c r="P212" s="3"/>
      <c r="Q212" s="3"/>
      <c r="R212" s="3"/>
      <c r="S212" s="3"/>
      <c r="T212" s="3"/>
      <c r="U212" s="3"/>
      <c r="V212" s="3"/>
      <c r="W212" s="3"/>
      <c r="X212" s="3"/>
      <c r="Y212" s="3"/>
      <c r="Z212" s="3"/>
    </row>
    <row r="213" spans="1:26">
      <c r="A213" s="131">
        <v>212</v>
      </c>
      <c r="B213" s="74" t="s">
        <v>1793</v>
      </c>
      <c r="C213" s="347">
        <v>43311</v>
      </c>
      <c r="D213" s="113" t="s">
        <v>1794</v>
      </c>
      <c r="E213" s="45"/>
      <c r="F213" s="126"/>
      <c r="G213" s="3"/>
      <c r="H213" s="3"/>
      <c r="I213" s="3"/>
      <c r="J213" s="3"/>
      <c r="K213" s="3"/>
      <c r="L213" s="3"/>
      <c r="M213" s="3"/>
      <c r="N213" s="3"/>
      <c r="O213" s="3"/>
      <c r="P213" s="3"/>
      <c r="Q213" s="3"/>
      <c r="R213" s="3"/>
      <c r="S213" s="3"/>
      <c r="T213" s="3"/>
      <c r="U213" s="3"/>
      <c r="V213" s="3"/>
      <c r="W213" s="3"/>
      <c r="X213" s="3"/>
      <c r="Y213" s="3"/>
      <c r="Z213" s="3"/>
    </row>
    <row r="214" spans="1:26">
      <c r="A214" s="131">
        <v>213</v>
      </c>
      <c r="B214" s="74" t="s">
        <v>1795</v>
      </c>
      <c r="C214" s="347">
        <v>43328</v>
      </c>
      <c r="D214" s="113" t="s">
        <v>1796</v>
      </c>
      <c r="E214" s="45"/>
      <c r="F214" s="126"/>
      <c r="G214" s="3"/>
      <c r="H214" s="3"/>
      <c r="I214" s="3"/>
      <c r="J214" s="3"/>
      <c r="K214" s="3"/>
      <c r="L214" s="3"/>
      <c r="M214" s="3"/>
      <c r="N214" s="3"/>
      <c r="O214" s="3"/>
      <c r="P214" s="3"/>
      <c r="Q214" s="3"/>
      <c r="R214" s="3"/>
      <c r="S214" s="3"/>
      <c r="T214" s="3"/>
      <c r="U214" s="3"/>
      <c r="V214" s="3"/>
      <c r="W214" s="3"/>
      <c r="X214" s="3"/>
      <c r="Y214" s="3"/>
      <c r="Z214" s="3"/>
    </row>
    <row r="215" spans="1:26">
      <c r="A215" s="131">
        <v>214</v>
      </c>
      <c r="B215" s="74" t="s">
        <v>1797</v>
      </c>
      <c r="C215" s="347">
        <v>43321</v>
      </c>
      <c r="D215" s="113" t="s">
        <v>1798</v>
      </c>
      <c r="E215" s="45"/>
      <c r="F215" s="126"/>
      <c r="G215" s="3"/>
      <c r="H215" s="3"/>
      <c r="I215" s="3"/>
      <c r="J215" s="3"/>
      <c r="K215" s="3"/>
      <c r="L215" s="3"/>
      <c r="M215" s="3"/>
      <c r="N215" s="3"/>
      <c r="O215" s="3"/>
      <c r="P215" s="3"/>
      <c r="Q215" s="3"/>
      <c r="R215" s="3"/>
      <c r="S215" s="3"/>
      <c r="T215" s="3"/>
      <c r="U215" s="3"/>
      <c r="V215" s="3"/>
      <c r="W215" s="3"/>
      <c r="X215" s="3"/>
      <c r="Y215" s="3"/>
      <c r="Z215" s="3"/>
    </row>
    <row r="216" spans="1:26">
      <c r="A216" s="131">
        <v>215</v>
      </c>
      <c r="B216" s="74" t="s">
        <v>1799</v>
      </c>
      <c r="C216" s="347">
        <v>43330</v>
      </c>
      <c r="D216" s="113" t="s">
        <v>1800</v>
      </c>
      <c r="E216" s="45"/>
      <c r="F216" s="126"/>
      <c r="G216" s="3"/>
      <c r="H216" s="3"/>
      <c r="I216" s="3"/>
      <c r="J216" s="3"/>
      <c r="K216" s="3"/>
      <c r="L216" s="3"/>
      <c r="M216" s="3"/>
      <c r="N216" s="3"/>
      <c r="O216" s="3"/>
      <c r="P216" s="3"/>
      <c r="Q216" s="3"/>
      <c r="R216" s="3"/>
      <c r="S216" s="3"/>
      <c r="T216" s="3"/>
      <c r="U216" s="3"/>
      <c r="V216" s="3"/>
      <c r="W216" s="3"/>
      <c r="X216" s="3"/>
      <c r="Y216" s="3"/>
      <c r="Z216" s="3"/>
    </row>
    <row r="217" spans="1:26">
      <c r="A217" s="131">
        <v>216</v>
      </c>
      <c r="B217" s="74" t="s">
        <v>1801</v>
      </c>
      <c r="C217" s="347">
        <v>43330</v>
      </c>
      <c r="D217" s="113" t="s">
        <v>1796</v>
      </c>
      <c r="E217" s="45"/>
      <c r="F217" s="126"/>
      <c r="G217" s="3"/>
      <c r="H217" s="3"/>
      <c r="I217" s="3"/>
      <c r="J217" s="3"/>
      <c r="K217" s="3"/>
      <c r="L217" s="3"/>
      <c r="M217" s="3"/>
      <c r="N217" s="3"/>
      <c r="O217" s="3"/>
      <c r="P217" s="3"/>
      <c r="Q217" s="3"/>
      <c r="R217" s="3"/>
      <c r="S217" s="3"/>
      <c r="T217" s="3"/>
      <c r="U217" s="3"/>
      <c r="V217" s="3"/>
      <c r="W217" s="3"/>
      <c r="X217" s="3"/>
      <c r="Y217" s="3"/>
      <c r="Z217" s="3"/>
    </row>
    <row r="218" spans="1:26">
      <c r="A218" s="131">
        <v>217</v>
      </c>
      <c r="B218" s="74" t="s">
        <v>1802</v>
      </c>
      <c r="C218" s="347">
        <v>43322</v>
      </c>
      <c r="D218" s="113" t="s">
        <v>1803</v>
      </c>
      <c r="E218" s="45"/>
      <c r="F218" s="126"/>
      <c r="G218" s="3"/>
      <c r="H218" s="3"/>
      <c r="I218" s="3"/>
      <c r="J218" s="3"/>
      <c r="K218" s="3"/>
      <c r="L218" s="3"/>
      <c r="M218" s="3"/>
      <c r="N218" s="3"/>
      <c r="O218" s="3"/>
      <c r="P218" s="3"/>
      <c r="Q218" s="3"/>
      <c r="R218" s="3"/>
      <c r="S218" s="3"/>
      <c r="T218" s="3"/>
      <c r="U218" s="3"/>
      <c r="V218" s="3"/>
      <c r="W218" s="3"/>
      <c r="X218" s="3"/>
      <c r="Y218" s="3"/>
      <c r="Z218" s="3"/>
    </row>
    <row r="219" spans="1:26" ht="28.8">
      <c r="A219" s="131">
        <v>218</v>
      </c>
      <c r="B219" s="276" t="s">
        <v>1804</v>
      </c>
      <c r="C219" s="164">
        <v>43404</v>
      </c>
      <c r="D219" s="113" t="s">
        <v>1805</v>
      </c>
      <c r="E219" s="45"/>
      <c r="F219" s="126"/>
      <c r="G219" s="126"/>
      <c r="H219" s="126"/>
      <c r="I219" s="126"/>
      <c r="J219" s="126"/>
      <c r="K219" s="126"/>
      <c r="L219" s="126"/>
      <c r="M219" s="126"/>
      <c r="N219" s="126"/>
      <c r="O219" s="126"/>
      <c r="P219" s="126"/>
      <c r="Q219" s="126"/>
      <c r="R219" s="126"/>
      <c r="S219" s="126"/>
      <c r="T219" s="126"/>
      <c r="U219" s="126"/>
      <c r="V219" s="126"/>
      <c r="W219" s="126"/>
      <c r="X219" s="126"/>
      <c r="Y219" s="126"/>
      <c r="Z219" s="126"/>
    </row>
    <row r="220" spans="1:26">
      <c r="A220" s="131">
        <v>219</v>
      </c>
      <c r="B220" s="74" t="s">
        <v>1806</v>
      </c>
      <c r="C220" s="347">
        <v>43369</v>
      </c>
      <c r="D220" s="113" t="s">
        <v>1807</v>
      </c>
      <c r="E220" s="45"/>
      <c r="F220" s="126"/>
      <c r="G220" s="3"/>
      <c r="H220" s="3"/>
      <c r="I220" s="3"/>
      <c r="J220" s="3"/>
      <c r="K220" s="3"/>
      <c r="L220" s="3"/>
      <c r="M220" s="3"/>
      <c r="N220" s="3"/>
      <c r="O220" s="3"/>
      <c r="P220" s="3"/>
      <c r="Q220" s="3"/>
      <c r="R220" s="3"/>
      <c r="S220" s="3"/>
      <c r="T220" s="3"/>
      <c r="U220" s="3"/>
      <c r="V220" s="3"/>
      <c r="W220" s="3"/>
      <c r="X220" s="3"/>
      <c r="Y220" s="3"/>
      <c r="Z220" s="3"/>
    </row>
    <row r="221" spans="1:26">
      <c r="A221" s="131">
        <v>220</v>
      </c>
      <c r="B221" s="74" t="s">
        <v>1808</v>
      </c>
      <c r="C221" s="347">
        <v>43344</v>
      </c>
      <c r="D221" s="113" t="s">
        <v>1220</v>
      </c>
      <c r="E221" s="45"/>
      <c r="F221" s="126"/>
      <c r="G221" s="3"/>
      <c r="H221" s="3"/>
      <c r="I221" s="3"/>
      <c r="J221" s="3"/>
      <c r="K221" s="3"/>
      <c r="L221" s="3"/>
      <c r="M221" s="3"/>
      <c r="N221" s="3"/>
      <c r="O221" s="3"/>
      <c r="P221" s="3"/>
      <c r="Q221" s="3"/>
      <c r="R221" s="3"/>
      <c r="S221" s="3"/>
      <c r="T221" s="3"/>
      <c r="U221" s="3"/>
      <c r="V221" s="3"/>
      <c r="W221" s="3"/>
      <c r="X221" s="3"/>
      <c r="Y221" s="3"/>
      <c r="Z221" s="3"/>
    </row>
    <row r="222" spans="1:26">
      <c r="A222" s="131">
        <v>221</v>
      </c>
      <c r="B222" s="74" t="s">
        <v>1809</v>
      </c>
      <c r="C222" s="347">
        <v>43347</v>
      </c>
      <c r="D222" s="113" t="s">
        <v>1810</v>
      </c>
      <c r="E222" s="45"/>
      <c r="F222" s="126"/>
      <c r="G222" s="3"/>
      <c r="H222" s="3"/>
      <c r="I222" s="3"/>
      <c r="J222" s="3"/>
      <c r="K222" s="3"/>
      <c r="L222" s="3"/>
      <c r="M222" s="3"/>
      <c r="N222" s="3"/>
      <c r="O222" s="3"/>
      <c r="P222" s="3"/>
      <c r="Q222" s="3"/>
      <c r="R222" s="3"/>
      <c r="S222" s="3"/>
      <c r="T222" s="3"/>
      <c r="U222" s="3"/>
      <c r="V222" s="3"/>
      <c r="W222" s="3"/>
      <c r="X222" s="3"/>
      <c r="Y222" s="3"/>
      <c r="Z222" s="3"/>
    </row>
    <row r="223" spans="1:26">
      <c r="A223" s="131">
        <v>222</v>
      </c>
      <c r="B223" s="74" t="s">
        <v>1811</v>
      </c>
      <c r="C223" s="347">
        <v>43353</v>
      </c>
      <c r="D223" s="113" t="s">
        <v>1812</v>
      </c>
      <c r="E223" s="45"/>
      <c r="F223" s="126"/>
      <c r="G223" s="3"/>
      <c r="H223" s="3"/>
      <c r="I223" s="3"/>
      <c r="J223" s="3"/>
      <c r="K223" s="3"/>
      <c r="L223" s="3"/>
      <c r="M223" s="3"/>
      <c r="N223" s="3"/>
      <c r="O223" s="3"/>
      <c r="P223" s="3"/>
      <c r="Q223" s="3"/>
      <c r="R223" s="3"/>
      <c r="S223" s="3"/>
      <c r="T223" s="3"/>
      <c r="U223" s="3"/>
      <c r="V223" s="3"/>
      <c r="W223" s="3"/>
      <c r="X223" s="3"/>
      <c r="Y223" s="3"/>
      <c r="Z223" s="3"/>
    </row>
    <row r="224" spans="1:26">
      <c r="A224" s="131">
        <v>223</v>
      </c>
      <c r="B224" s="74" t="s">
        <v>1813</v>
      </c>
      <c r="C224" s="347">
        <v>43363</v>
      </c>
      <c r="D224" s="113" t="s">
        <v>1814</v>
      </c>
      <c r="E224" s="45"/>
      <c r="F224" s="126"/>
      <c r="G224" s="3"/>
      <c r="H224" s="3"/>
      <c r="I224" s="3"/>
      <c r="J224" s="3"/>
      <c r="K224" s="3"/>
      <c r="L224" s="3"/>
      <c r="M224" s="3"/>
      <c r="N224" s="3"/>
      <c r="O224" s="3"/>
      <c r="P224" s="3"/>
      <c r="Q224" s="3"/>
      <c r="R224" s="3"/>
      <c r="S224" s="3"/>
      <c r="T224" s="3"/>
      <c r="U224" s="3"/>
      <c r="V224" s="3"/>
      <c r="W224" s="3"/>
      <c r="X224" s="3"/>
      <c r="Y224" s="3"/>
      <c r="Z224" s="3"/>
    </row>
    <row r="225" spans="1:26">
      <c r="A225" s="131">
        <v>224</v>
      </c>
      <c r="B225" s="74" t="s">
        <v>1815</v>
      </c>
      <c r="C225" s="347">
        <v>43354</v>
      </c>
      <c r="D225" s="113" t="s">
        <v>1812</v>
      </c>
      <c r="E225" s="45"/>
      <c r="F225" s="126"/>
      <c r="G225" s="3"/>
      <c r="H225" s="3"/>
      <c r="I225" s="3"/>
      <c r="J225" s="3"/>
      <c r="K225" s="3"/>
      <c r="L225" s="3"/>
      <c r="M225" s="3"/>
      <c r="N225" s="3"/>
      <c r="O225" s="3"/>
      <c r="P225" s="3"/>
      <c r="Q225" s="3"/>
      <c r="R225" s="3"/>
      <c r="S225" s="3"/>
      <c r="T225" s="3"/>
      <c r="U225" s="3"/>
      <c r="V225" s="3"/>
      <c r="W225" s="3"/>
      <c r="X225" s="3"/>
      <c r="Y225" s="3"/>
      <c r="Z225" s="3"/>
    </row>
    <row r="226" spans="1:26">
      <c r="A226" s="131">
        <v>225</v>
      </c>
      <c r="B226" s="74" t="s">
        <v>1816</v>
      </c>
      <c r="C226" s="347">
        <v>43358</v>
      </c>
      <c r="D226" s="113" t="s">
        <v>432</v>
      </c>
      <c r="E226" s="45"/>
      <c r="F226" s="126"/>
      <c r="G226" s="3"/>
      <c r="H226" s="3"/>
      <c r="I226" s="3"/>
      <c r="J226" s="3"/>
      <c r="K226" s="3"/>
      <c r="L226" s="3"/>
      <c r="M226" s="3"/>
      <c r="N226" s="3"/>
      <c r="O226" s="3"/>
      <c r="P226" s="3"/>
      <c r="Q226" s="3"/>
      <c r="R226" s="3"/>
      <c r="S226" s="3"/>
      <c r="T226" s="3"/>
      <c r="U226" s="3"/>
      <c r="V226" s="3"/>
      <c r="W226" s="3"/>
      <c r="X226" s="3"/>
      <c r="Y226" s="3"/>
      <c r="Z226" s="3"/>
    </row>
    <row r="227" spans="1:26">
      <c r="A227" s="131">
        <v>226</v>
      </c>
      <c r="B227" s="74" t="s">
        <v>1817</v>
      </c>
      <c r="C227" s="347">
        <v>43363</v>
      </c>
      <c r="D227" s="113" t="s">
        <v>1818</v>
      </c>
      <c r="E227" s="45"/>
      <c r="F227" s="126"/>
      <c r="G227" s="3"/>
      <c r="H227" s="3"/>
      <c r="I227" s="3"/>
      <c r="J227" s="3"/>
      <c r="K227" s="3"/>
      <c r="L227" s="3"/>
      <c r="M227" s="3"/>
      <c r="N227" s="3"/>
      <c r="O227" s="3"/>
      <c r="P227" s="3"/>
      <c r="Q227" s="3"/>
      <c r="R227" s="3"/>
      <c r="S227" s="3"/>
      <c r="T227" s="3"/>
      <c r="U227" s="3"/>
      <c r="V227" s="3"/>
      <c r="W227" s="3"/>
      <c r="X227" s="3"/>
      <c r="Y227" s="3"/>
      <c r="Z227" s="3"/>
    </row>
    <row r="228" spans="1:26">
      <c r="A228" s="131">
        <v>227</v>
      </c>
      <c r="B228" s="74" t="s">
        <v>1819</v>
      </c>
      <c r="C228" s="347">
        <v>43374</v>
      </c>
      <c r="D228" s="113" t="s">
        <v>1820</v>
      </c>
      <c r="E228" s="45"/>
      <c r="F228" s="126"/>
      <c r="G228" s="3"/>
      <c r="H228" s="3"/>
      <c r="I228" s="3"/>
      <c r="J228" s="3"/>
      <c r="K228" s="3"/>
      <c r="L228" s="3"/>
      <c r="M228" s="3"/>
      <c r="N228" s="3"/>
      <c r="O228" s="3"/>
      <c r="P228" s="3"/>
      <c r="Q228" s="3"/>
      <c r="R228" s="3"/>
      <c r="S228" s="3"/>
      <c r="T228" s="3"/>
      <c r="U228" s="3"/>
      <c r="V228" s="3"/>
      <c r="W228" s="3"/>
      <c r="X228" s="3"/>
      <c r="Y228" s="3"/>
      <c r="Z228" s="3"/>
    </row>
    <row r="229" spans="1:26">
      <c r="A229" s="131">
        <v>228</v>
      </c>
      <c r="B229" s="74" t="s">
        <v>1821</v>
      </c>
      <c r="C229" s="347">
        <v>43374</v>
      </c>
      <c r="D229" s="113" t="s">
        <v>1822</v>
      </c>
      <c r="E229" s="45"/>
      <c r="F229" s="126"/>
      <c r="G229" s="3"/>
      <c r="H229" s="3"/>
      <c r="I229" s="3"/>
      <c r="J229" s="3"/>
      <c r="K229" s="3"/>
      <c r="L229" s="3"/>
      <c r="M229" s="3"/>
      <c r="N229" s="3"/>
      <c r="O229" s="3"/>
      <c r="P229" s="3"/>
      <c r="Q229" s="3"/>
      <c r="R229" s="3"/>
      <c r="S229" s="3"/>
      <c r="T229" s="3"/>
      <c r="U229" s="3"/>
      <c r="V229" s="3"/>
      <c r="W229" s="3"/>
      <c r="X229" s="3"/>
      <c r="Y229" s="3"/>
      <c r="Z229" s="3"/>
    </row>
    <row r="230" spans="1:26">
      <c r="A230" s="131">
        <v>229</v>
      </c>
      <c r="B230" s="74" t="s">
        <v>1823</v>
      </c>
      <c r="C230" s="347">
        <v>43405</v>
      </c>
      <c r="D230" s="113" t="s">
        <v>1416</v>
      </c>
      <c r="E230" s="45"/>
      <c r="F230" s="126"/>
      <c r="G230" s="3"/>
      <c r="H230" s="3"/>
      <c r="I230" s="3"/>
      <c r="J230" s="3"/>
      <c r="K230" s="3"/>
      <c r="L230" s="3"/>
      <c r="M230" s="3"/>
      <c r="N230" s="3"/>
      <c r="O230" s="3"/>
      <c r="P230" s="3"/>
      <c r="Q230" s="3"/>
      <c r="R230" s="3"/>
      <c r="S230" s="3"/>
      <c r="T230" s="3"/>
      <c r="U230" s="3"/>
      <c r="V230" s="3"/>
      <c r="W230" s="3"/>
      <c r="X230" s="3"/>
      <c r="Y230" s="3"/>
      <c r="Z230" s="3"/>
    </row>
    <row r="231" spans="1:26">
      <c r="A231" s="131">
        <v>230</v>
      </c>
      <c r="B231" s="12" t="s">
        <v>1824</v>
      </c>
      <c r="C231" s="347">
        <v>43482</v>
      </c>
      <c r="D231" s="349" t="s">
        <v>1825</v>
      </c>
      <c r="E231" s="48"/>
      <c r="F231" s="126"/>
      <c r="G231" s="3"/>
      <c r="H231" s="3"/>
      <c r="I231" s="3"/>
      <c r="J231" s="3"/>
      <c r="K231" s="3"/>
      <c r="L231" s="3"/>
      <c r="M231" s="3"/>
      <c r="N231" s="3"/>
      <c r="O231" s="3"/>
      <c r="P231" s="3"/>
      <c r="Q231" s="3"/>
      <c r="R231" s="3"/>
      <c r="S231" s="3"/>
      <c r="T231" s="3"/>
      <c r="U231" s="3"/>
      <c r="V231" s="3"/>
      <c r="W231" s="3"/>
      <c r="X231" s="3"/>
      <c r="Y231" s="3"/>
      <c r="Z231" s="3"/>
    </row>
    <row r="232" spans="1:26">
      <c r="A232" s="131">
        <v>231</v>
      </c>
      <c r="B232" s="12" t="s">
        <v>1826</v>
      </c>
      <c r="C232" s="347">
        <v>43542</v>
      </c>
      <c r="D232" s="349" t="s">
        <v>1827</v>
      </c>
      <c r="E232" s="48"/>
      <c r="F232" s="126"/>
      <c r="G232" s="3"/>
      <c r="H232" s="3"/>
      <c r="I232" s="3"/>
      <c r="J232" s="3"/>
      <c r="K232" s="3"/>
      <c r="L232" s="3"/>
      <c r="M232" s="3"/>
      <c r="N232" s="3"/>
      <c r="O232" s="3"/>
      <c r="P232" s="3"/>
      <c r="Q232" s="3"/>
      <c r="R232" s="3"/>
      <c r="S232" s="3"/>
      <c r="T232" s="3"/>
      <c r="U232" s="3"/>
      <c r="V232" s="3"/>
      <c r="W232" s="3"/>
      <c r="X232" s="3"/>
      <c r="Y232" s="3"/>
      <c r="Z232" s="3"/>
    </row>
    <row r="233" spans="1:26">
      <c r="A233" s="131">
        <v>232</v>
      </c>
      <c r="B233" s="12" t="s">
        <v>1828</v>
      </c>
      <c r="C233" s="347">
        <v>43542</v>
      </c>
      <c r="D233" s="349" t="s">
        <v>1827</v>
      </c>
      <c r="E233" s="48"/>
      <c r="F233" s="126"/>
      <c r="G233" s="3"/>
      <c r="H233" s="3"/>
      <c r="I233" s="3"/>
      <c r="J233" s="3"/>
      <c r="K233" s="3"/>
      <c r="L233" s="3"/>
      <c r="M233" s="3"/>
      <c r="N233" s="3"/>
      <c r="O233" s="3"/>
      <c r="P233" s="3"/>
      <c r="Q233" s="3"/>
      <c r="R233" s="3"/>
      <c r="S233" s="3"/>
      <c r="T233" s="3"/>
      <c r="U233" s="3"/>
      <c r="V233" s="3"/>
      <c r="W233" s="3"/>
      <c r="X233" s="3"/>
      <c r="Y233" s="3"/>
      <c r="Z233" s="3"/>
    </row>
    <row r="234" spans="1:26">
      <c r="A234" s="131">
        <v>233</v>
      </c>
      <c r="B234" s="12" t="s">
        <v>1829</v>
      </c>
      <c r="C234" s="347">
        <v>43543</v>
      </c>
      <c r="D234" s="349" t="s">
        <v>1830</v>
      </c>
      <c r="E234" s="48"/>
      <c r="F234" s="126"/>
      <c r="G234" s="3"/>
      <c r="H234" s="3"/>
      <c r="I234" s="3"/>
      <c r="J234" s="3"/>
      <c r="K234" s="3"/>
      <c r="L234" s="3"/>
      <c r="M234" s="3"/>
      <c r="N234" s="3"/>
      <c r="O234" s="3"/>
      <c r="P234" s="3"/>
      <c r="Q234" s="3"/>
      <c r="R234" s="3"/>
      <c r="S234" s="3"/>
      <c r="T234" s="3"/>
      <c r="U234" s="3"/>
      <c r="V234" s="3"/>
      <c r="W234" s="3"/>
      <c r="X234" s="3"/>
      <c r="Y234" s="3"/>
      <c r="Z234" s="3"/>
    </row>
    <row r="235" spans="1:26">
      <c r="A235" s="131">
        <v>234</v>
      </c>
      <c r="B235" s="2" t="str">
        <f>HYPERLINK("https://www.microsave.net/2019/04/05/how-much-has-changed-in-just-20-years-1-2/","How much has changed in just 20 years – Part 1")</f>
        <v>How much has changed in just 20 years – Part 1</v>
      </c>
      <c r="C235" s="347">
        <v>43560</v>
      </c>
      <c r="D235" s="113" t="s">
        <v>1416</v>
      </c>
      <c r="E235" s="45"/>
      <c r="F235" s="126"/>
      <c r="G235" s="3"/>
      <c r="H235" s="3"/>
      <c r="I235" s="3"/>
      <c r="J235" s="3"/>
      <c r="K235" s="3"/>
      <c r="L235" s="3"/>
      <c r="M235" s="3"/>
      <c r="N235" s="3"/>
      <c r="O235" s="3"/>
      <c r="P235" s="3"/>
      <c r="Q235" s="3"/>
      <c r="R235" s="3"/>
      <c r="S235" s="3"/>
      <c r="T235" s="3"/>
      <c r="U235" s="3"/>
      <c r="V235" s="3"/>
      <c r="W235" s="3"/>
      <c r="X235" s="3"/>
      <c r="Y235" s="3"/>
      <c r="Z235" s="3"/>
    </row>
    <row r="236" spans="1:26">
      <c r="A236" s="131">
        <v>235</v>
      </c>
      <c r="B236" s="2" t="str">
        <f>HYPERLINK("https://www.microsave.net/2019/04/05/how-much-has-changed-in-just-20-years-2-2/","How much has changed in just 20 years – Part 2")</f>
        <v>How much has changed in just 20 years – Part 2</v>
      </c>
      <c r="C236" s="347">
        <v>43560</v>
      </c>
      <c r="D236" s="113" t="s">
        <v>1416</v>
      </c>
      <c r="E236" s="45"/>
      <c r="F236" s="3"/>
      <c r="G236" s="3"/>
      <c r="H236" s="3"/>
      <c r="I236" s="3"/>
      <c r="J236" s="3"/>
      <c r="K236" s="3"/>
      <c r="L236" s="3"/>
      <c r="M236" s="3"/>
      <c r="N236" s="3"/>
      <c r="O236" s="3"/>
      <c r="P236" s="3"/>
      <c r="Q236" s="3"/>
      <c r="R236" s="3"/>
      <c r="S236" s="3"/>
      <c r="T236" s="3"/>
      <c r="U236" s="3"/>
      <c r="V236" s="3"/>
      <c r="W236" s="3"/>
      <c r="X236" s="3"/>
      <c r="Y236" s="3"/>
      <c r="Z236" s="3"/>
    </row>
    <row r="237" spans="1:26">
      <c r="A237" s="131">
        <v>236</v>
      </c>
      <c r="B237" s="2"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164">
        <v>43584</v>
      </c>
      <c r="D237" s="113" t="s">
        <v>1416</v>
      </c>
      <c r="E237" s="45"/>
      <c r="F237" s="3"/>
      <c r="G237" s="3"/>
      <c r="H237" s="3"/>
      <c r="I237" s="3"/>
      <c r="J237" s="3"/>
      <c r="K237" s="3"/>
      <c r="L237" s="3"/>
      <c r="M237" s="3"/>
      <c r="N237" s="3"/>
      <c r="O237" s="3"/>
      <c r="P237" s="3"/>
      <c r="Q237" s="3"/>
      <c r="R237" s="3"/>
      <c r="S237" s="3"/>
      <c r="T237" s="3"/>
      <c r="U237" s="3"/>
      <c r="V237" s="3"/>
      <c r="W237" s="3"/>
      <c r="X237" s="3"/>
      <c r="Y237" s="3"/>
      <c r="Z237" s="3"/>
    </row>
    <row r="238" spans="1:26">
      <c r="A238" s="131">
        <v>237</v>
      </c>
      <c r="B238" s="2" t="s">
        <v>1831</v>
      </c>
      <c r="C238" s="164">
        <v>43565</v>
      </c>
      <c r="D238" s="113" t="s">
        <v>1832</v>
      </c>
      <c r="E238" s="45"/>
      <c r="F238" s="3"/>
      <c r="G238" s="3"/>
      <c r="H238" s="3"/>
      <c r="I238" s="3"/>
      <c r="J238" s="3"/>
      <c r="K238" s="3"/>
      <c r="L238" s="3"/>
      <c r="M238" s="3"/>
      <c r="N238" s="3"/>
      <c r="O238" s="3"/>
      <c r="P238" s="3"/>
      <c r="Q238" s="3"/>
      <c r="R238" s="3"/>
      <c r="S238" s="3"/>
      <c r="T238" s="3"/>
      <c r="U238" s="3"/>
      <c r="V238" s="3"/>
      <c r="W238" s="3"/>
      <c r="X238" s="3"/>
      <c r="Y238" s="3"/>
      <c r="Z238" s="3"/>
    </row>
    <row r="239" spans="1:26">
      <c r="A239" s="131">
        <v>238</v>
      </c>
      <c r="B239" s="2" t="s">
        <v>1833</v>
      </c>
      <c r="C239" s="164">
        <v>43609</v>
      </c>
      <c r="D239" s="113" t="s">
        <v>1834</v>
      </c>
      <c r="E239" s="45"/>
      <c r="F239" s="3"/>
      <c r="G239" s="3"/>
      <c r="H239" s="3"/>
      <c r="I239" s="3"/>
      <c r="J239" s="3"/>
      <c r="K239" s="3"/>
      <c r="L239" s="3"/>
      <c r="M239" s="3"/>
      <c r="N239" s="3"/>
      <c r="O239" s="3"/>
      <c r="P239" s="3"/>
      <c r="Q239" s="3"/>
      <c r="R239" s="3"/>
      <c r="S239" s="3"/>
      <c r="T239" s="3"/>
      <c r="U239" s="3"/>
      <c r="V239" s="3"/>
      <c r="W239" s="3"/>
      <c r="X239" s="3"/>
      <c r="Y239" s="3"/>
      <c r="Z239" s="3"/>
    </row>
    <row r="240" spans="1:26">
      <c r="A240" s="131">
        <v>239</v>
      </c>
      <c r="B240" s="2" t="s">
        <v>1835</v>
      </c>
      <c r="C240" s="164">
        <v>43684</v>
      </c>
      <c r="D240" s="113" t="s">
        <v>4907</v>
      </c>
      <c r="E240" s="45"/>
      <c r="F240" s="3"/>
      <c r="G240" s="3"/>
      <c r="H240" s="3"/>
      <c r="I240" s="3"/>
      <c r="J240" s="3"/>
      <c r="K240" s="3"/>
      <c r="L240" s="3"/>
      <c r="M240" s="3"/>
      <c r="N240" s="3"/>
      <c r="O240" s="3"/>
      <c r="P240" s="3"/>
      <c r="Q240" s="3"/>
      <c r="R240" s="3"/>
      <c r="S240" s="3"/>
      <c r="T240" s="3"/>
      <c r="U240" s="3"/>
      <c r="V240" s="3"/>
      <c r="W240" s="3"/>
      <c r="X240" s="3"/>
      <c r="Y240" s="3"/>
      <c r="Z240" s="3"/>
    </row>
    <row r="241" spans="1:26">
      <c r="A241" s="131">
        <v>240</v>
      </c>
      <c r="B241" s="2" t="s">
        <v>1836</v>
      </c>
      <c r="C241" s="164">
        <v>43684</v>
      </c>
      <c r="D241" s="113" t="s">
        <v>1837</v>
      </c>
      <c r="E241" s="45"/>
      <c r="F241" s="3"/>
      <c r="G241" s="3"/>
      <c r="H241" s="3"/>
      <c r="I241" s="3"/>
      <c r="J241" s="3"/>
      <c r="K241" s="3"/>
      <c r="L241" s="3"/>
      <c r="M241" s="3"/>
      <c r="N241" s="3"/>
      <c r="O241" s="3"/>
      <c r="P241" s="3"/>
      <c r="Q241" s="3"/>
      <c r="R241" s="3"/>
      <c r="S241" s="3"/>
      <c r="T241" s="3"/>
      <c r="U241" s="3"/>
      <c r="V241" s="3"/>
      <c r="W241" s="3"/>
      <c r="X241" s="3"/>
      <c r="Y241" s="3"/>
      <c r="Z241" s="3"/>
    </row>
    <row r="242" spans="1:26">
      <c r="A242" s="131">
        <v>241</v>
      </c>
      <c r="B242" s="2" t="s">
        <v>1838</v>
      </c>
      <c r="C242" s="164">
        <v>43745</v>
      </c>
      <c r="D242" s="113" t="s">
        <v>1839</v>
      </c>
      <c r="E242" s="45"/>
      <c r="F242" s="3"/>
      <c r="G242" s="3"/>
      <c r="H242" s="3"/>
      <c r="I242" s="3"/>
      <c r="J242" s="3"/>
      <c r="K242" s="3"/>
      <c r="L242" s="3"/>
      <c r="M242" s="3"/>
      <c r="N242" s="3"/>
      <c r="O242" s="3"/>
      <c r="P242" s="3"/>
      <c r="Q242" s="3"/>
      <c r="R242" s="3"/>
      <c r="S242" s="3"/>
      <c r="T242" s="3"/>
      <c r="U242" s="3"/>
      <c r="V242" s="3"/>
      <c r="W242" s="3"/>
      <c r="X242" s="3"/>
      <c r="Y242" s="3"/>
      <c r="Z242" s="3"/>
    </row>
    <row r="243" spans="1:26">
      <c r="A243" s="131">
        <v>242</v>
      </c>
      <c r="B243" s="2" t="s">
        <v>1840</v>
      </c>
      <c r="C243" s="164">
        <v>43776</v>
      </c>
      <c r="D243" s="113" t="s">
        <v>1841</v>
      </c>
      <c r="E243" s="45"/>
      <c r="F243" s="3"/>
      <c r="G243" s="3"/>
      <c r="H243" s="3"/>
      <c r="I243" s="3"/>
      <c r="J243" s="3"/>
      <c r="K243" s="3"/>
      <c r="L243" s="3"/>
      <c r="M243" s="3"/>
      <c r="N243" s="3"/>
      <c r="O243" s="3"/>
      <c r="P243" s="3"/>
      <c r="Q243" s="3"/>
      <c r="R243" s="3"/>
      <c r="S243" s="3"/>
      <c r="T243" s="3"/>
      <c r="U243" s="3"/>
      <c r="V243" s="3"/>
      <c r="W243" s="3"/>
      <c r="X243" s="3"/>
      <c r="Y243" s="3"/>
      <c r="Z243" s="3"/>
    </row>
    <row r="244" spans="1:26">
      <c r="A244" s="131">
        <v>243</v>
      </c>
      <c r="B244" s="2" t="s">
        <v>1842</v>
      </c>
      <c r="C244" s="164">
        <v>43806</v>
      </c>
      <c r="D244" s="113" t="s">
        <v>1843</v>
      </c>
      <c r="E244" s="45"/>
      <c r="F244" s="3"/>
      <c r="G244" s="3"/>
      <c r="H244" s="3"/>
      <c r="I244" s="3"/>
      <c r="J244" s="3"/>
      <c r="K244" s="3"/>
      <c r="L244" s="3"/>
      <c r="M244" s="3"/>
      <c r="N244" s="3"/>
      <c r="O244" s="3"/>
      <c r="P244" s="3"/>
      <c r="Q244" s="3"/>
      <c r="R244" s="3"/>
      <c r="S244" s="3"/>
      <c r="T244" s="3"/>
      <c r="U244" s="3"/>
      <c r="V244" s="3"/>
      <c r="W244" s="3"/>
      <c r="X244" s="3"/>
      <c r="Y244" s="3"/>
      <c r="Z244" s="3"/>
    </row>
    <row r="245" spans="1:26">
      <c r="A245" s="131">
        <v>244</v>
      </c>
      <c r="B245" s="2" t="s">
        <v>1844</v>
      </c>
      <c r="C245" s="164">
        <v>43806</v>
      </c>
      <c r="D245" s="113" t="s">
        <v>1845</v>
      </c>
      <c r="E245" s="45"/>
      <c r="F245" s="3"/>
      <c r="G245" s="3"/>
      <c r="H245" s="3"/>
      <c r="I245" s="3"/>
      <c r="J245" s="3"/>
      <c r="K245" s="3"/>
      <c r="L245" s="3"/>
      <c r="M245" s="3"/>
      <c r="N245" s="3"/>
      <c r="O245" s="3"/>
      <c r="P245" s="3"/>
      <c r="Q245" s="3"/>
      <c r="R245" s="3"/>
      <c r="S245" s="3"/>
      <c r="T245" s="3"/>
      <c r="U245" s="3"/>
      <c r="V245" s="3"/>
      <c r="W245" s="3"/>
      <c r="X245" s="3"/>
      <c r="Y245" s="3"/>
      <c r="Z245" s="3"/>
    </row>
    <row r="246" spans="1:26">
      <c r="A246" s="131">
        <v>245</v>
      </c>
      <c r="B246" s="2" t="s">
        <v>1846</v>
      </c>
      <c r="C246" s="347">
        <f>DATE(2019,7,15)</f>
        <v>43661</v>
      </c>
      <c r="D246" s="113" t="s">
        <v>1847</v>
      </c>
      <c r="E246" s="45"/>
      <c r="F246" s="3"/>
      <c r="G246" s="3"/>
      <c r="H246" s="3"/>
      <c r="I246" s="3"/>
      <c r="J246" s="3"/>
      <c r="K246" s="3"/>
      <c r="L246" s="3"/>
      <c r="M246" s="3"/>
      <c r="N246" s="3"/>
      <c r="O246" s="3"/>
      <c r="P246" s="3"/>
      <c r="Q246" s="3"/>
      <c r="R246" s="3"/>
      <c r="S246" s="3"/>
      <c r="T246" s="3"/>
      <c r="U246" s="3"/>
      <c r="V246" s="3"/>
      <c r="W246" s="3"/>
      <c r="X246" s="3"/>
      <c r="Y246" s="3"/>
      <c r="Z246" s="3"/>
    </row>
    <row r="247" spans="1:26">
      <c r="A247" s="131">
        <v>246</v>
      </c>
      <c r="B247" s="2" t="s">
        <v>1848</v>
      </c>
      <c r="C247" s="347">
        <f>DATE(2019,7,16)</f>
        <v>43662</v>
      </c>
      <c r="D247" s="113" t="s">
        <v>1849</v>
      </c>
      <c r="E247" s="45"/>
      <c r="F247" s="3"/>
      <c r="G247" s="3"/>
      <c r="H247" s="3"/>
      <c r="I247" s="3"/>
      <c r="J247" s="3"/>
      <c r="K247" s="3"/>
      <c r="L247" s="3"/>
      <c r="M247" s="3"/>
      <c r="N247" s="3"/>
      <c r="O247" s="3"/>
      <c r="P247" s="3"/>
      <c r="Q247" s="3"/>
      <c r="R247" s="3"/>
      <c r="S247" s="3"/>
      <c r="T247" s="3"/>
      <c r="U247" s="3"/>
      <c r="V247" s="3"/>
      <c r="W247" s="3"/>
      <c r="X247" s="3"/>
      <c r="Y247" s="3"/>
      <c r="Z247" s="3"/>
    </row>
    <row r="248" spans="1:26">
      <c r="A248" s="131">
        <v>247</v>
      </c>
      <c r="B248" s="2" t="s">
        <v>1850</v>
      </c>
      <c r="C248" s="347">
        <f>DATE(2019,7,17)</f>
        <v>43663</v>
      </c>
      <c r="D248" s="113" t="s">
        <v>1851</v>
      </c>
      <c r="E248" s="45"/>
      <c r="F248" s="3"/>
      <c r="G248" s="3"/>
      <c r="H248" s="3"/>
      <c r="I248" s="3"/>
      <c r="J248" s="3"/>
      <c r="K248" s="3"/>
      <c r="L248" s="3"/>
      <c r="M248" s="3"/>
      <c r="N248" s="3"/>
      <c r="O248" s="3"/>
      <c r="P248" s="3"/>
      <c r="Q248" s="3"/>
      <c r="R248" s="3"/>
      <c r="S248" s="3"/>
      <c r="T248" s="3"/>
      <c r="U248" s="3"/>
      <c r="V248" s="3"/>
      <c r="W248" s="3"/>
      <c r="X248" s="3"/>
      <c r="Y248" s="3"/>
      <c r="Z248" s="3"/>
    </row>
    <row r="249" spans="1:26">
      <c r="A249" s="131">
        <v>248</v>
      </c>
      <c r="B249" s="2" t="s">
        <v>1852</v>
      </c>
      <c r="C249" s="347">
        <f>DATE(2019,7,18)</f>
        <v>43664</v>
      </c>
      <c r="D249" s="113" t="s">
        <v>1853</v>
      </c>
      <c r="E249" s="45"/>
      <c r="F249" s="3"/>
      <c r="G249" s="3"/>
      <c r="H249" s="3"/>
      <c r="I249" s="3"/>
      <c r="J249" s="3"/>
      <c r="K249" s="3"/>
      <c r="L249" s="3"/>
      <c r="M249" s="3"/>
      <c r="N249" s="3"/>
      <c r="O249" s="3"/>
      <c r="P249" s="3"/>
      <c r="Q249" s="3"/>
      <c r="R249" s="3"/>
      <c r="S249" s="3"/>
      <c r="T249" s="3"/>
      <c r="U249" s="3"/>
      <c r="V249" s="3"/>
      <c r="W249" s="3"/>
      <c r="X249" s="3"/>
      <c r="Y249" s="3"/>
      <c r="Z249" s="3"/>
    </row>
    <row r="250" spans="1:26">
      <c r="A250" s="131">
        <v>249</v>
      </c>
      <c r="B250" s="2" t="s">
        <v>1854</v>
      </c>
      <c r="C250" s="347">
        <f>DATE(2019,7,19)</f>
        <v>43665</v>
      </c>
      <c r="D250" s="113" t="s">
        <v>1855</v>
      </c>
      <c r="E250" s="45"/>
      <c r="F250" s="3"/>
      <c r="G250" s="3"/>
      <c r="H250" s="3"/>
      <c r="I250" s="3"/>
      <c r="J250" s="3"/>
      <c r="K250" s="3"/>
      <c r="L250" s="3"/>
      <c r="M250" s="3"/>
      <c r="N250" s="3"/>
      <c r="O250" s="3"/>
      <c r="P250" s="3"/>
      <c r="Q250" s="3"/>
      <c r="R250" s="3"/>
      <c r="S250" s="3"/>
      <c r="T250" s="3"/>
      <c r="U250" s="3"/>
      <c r="V250" s="3"/>
      <c r="W250" s="3"/>
      <c r="X250" s="3"/>
      <c r="Y250" s="3"/>
      <c r="Z250" s="3"/>
    </row>
    <row r="251" spans="1:26">
      <c r="A251" s="131">
        <v>250</v>
      </c>
      <c r="B251" s="2" t="s">
        <v>1856</v>
      </c>
      <c r="C251" s="347">
        <f>DATE(2019,10,18)</f>
        <v>43756</v>
      </c>
      <c r="D251" s="113" t="s">
        <v>1857</v>
      </c>
      <c r="E251" s="45"/>
      <c r="F251" s="3"/>
      <c r="G251" s="3"/>
      <c r="H251" s="3"/>
      <c r="I251" s="3"/>
      <c r="J251" s="3"/>
      <c r="K251" s="3"/>
      <c r="L251" s="3"/>
      <c r="M251" s="3"/>
      <c r="N251" s="3"/>
      <c r="O251" s="3"/>
      <c r="P251" s="3"/>
      <c r="Q251" s="3"/>
      <c r="R251" s="3"/>
      <c r="S251" s="3"/>
      <c r="T251" s="3"/>
      <c r="U251" s="3"/>
      <c r="V251" s="3"/>
      <c r="W251" s="3"/>
      <c r="X251" s="3"/>
      <c r="Y251" s="3"/>
      <c r="Z251" s="3"/>
    </row>
    <row r="252" spans="1:26">
      <c r="A252" s="131">
        <v>251</v>
      </c>
      <c r="B252" s="2" t="s">
        <v>1858</v>
      </c>
      <c r="C252" s="347">
        <f>DATE(2019,9,19)</f>
        <v>43727</v>
      </c>
      <c r="D252" s="113" t="s">
        <v>1859</v>
      </c>
      <c r="E252" s="45"/>
      <c r="F252" s="3"/>
      <c r="G252" s="3"/>
      <c r="H252" s="3"/>
      <c r="I252" s="3"/>
      <c r="J252" s="3"/>
      <c r="K252" s="3"/>
      <c r="L252" s="3"/>
      <c r="M252" s="3"/>
      <c r="N252" s="3"/>
      <c r="O252" s="3"/>
      <c r="P252" s="3"/>
      <c r="Q252" s="3"/>
      <c r="R252" s="3"/>
      <c r="S252" s="3"/>
      <c r="T252" s="3"/>
      <c r="U252" s="3"/>
      <c r="V252" s="3"/>
      <c r="W252" s="3"/>
      <c r="X252" s="3"/>
      <c r="Y252" s="3"/>
      <c r="Z252" s="3"/>
    </row>
    <row r="253" spans="1:26">
      <c r="A253" s="131">
        <v>252</v>
      </c>
      <c r="B253" s="2" t="s">
        <v>1860</v>
      </c>
      <c r="C253" s="347">
        <f>DATE(2019,9,23)</f>
        <v>43731</v>
      </c>
      <c r="D253" s="113" t="s">
        <v>1861</v>
      </c>
      <c r="E253" s="45"/>
      <c r="F253" s="3"/>
      <c r="G253" s="3"/>
      <c r="H253" s="3"/>
      <c r="I253" s="3"/>
      <c r="J253" s="3"/>
      <c r="K253" s="3"/>
      <c r="L253" s="3"/>
      <c r="M253" s="3"/>
      <c r="N253" s="3"/>
      <c r="O253" s="3"/>
      <c r="P253" s="3"/>
      <c r="Q253" s="3"/>
      <c r="R253" s="3"/>
      <c r="S253" s="3"/>
      <c r="T253" s="3"/>
      <c r="U253" s="3"/>
      <c r="V253" s="3"/>
      <c r="W253" s="3"/>
      <c r="X253" s="3"/>
      <c r="Y253" s="3"/>
      <c r="Z253" s="3"/>
    </row>
    <row r="254" spans="1:26">
      <c r="A254" s="131">
        <v>253</v>
      </c>
      <c r="B254" s="2" t="s">
        <v>1862</v>
      </c>
      <c r="C254" s="164">
        <v>43739</v>
      </c>
      <c r="D254" s="113" t="s">
        <v>1863</v>
      </c>
      <c r="E254" s="45"/>
      <c r="F254" s="3"/>
      <c r="G254" s="3"/>
      <c r="H254" s="3"/>
      <c r="I254" s="3"/>
      <c r="J254" s="3"/>
      <c r="K254" s="3"/>
      <c r="L254" s="3"/>
      <c r="M254" s="3"/>
      <c r="N254" s="3"/>
      <c r="O254" s="3"/>
      <c r="P254" s="3"/>
      <c r="Q254" s="3"/>
      <c r="R254" s="3"/>
      <c r="S254" s="3"/>
      <c r="T254" s="3"/>
      <c r="U254" s="3"/>
      <c r="V254" s="3"/>
      <c r="W254" s="3"/>
      <c r="X254" s="3"/>
      <c r="Y254" s="3"/>
      <c r="Z254" s="3"/>
    </row>
    <row r="255" spans="1:26">
      <c r="A255" s="131">
        <v>254</v>
      </c>
      <c r="B255" s="2" t="s">
        <v>1864</v>
      </c>
      <c r="C255" s="164">
        <v>43781</v>
      </c>
      <c r="D255" s="113" t="s">
        <v>4881</v>
      </c>
      <c r="E255" s="45"/>
      <c r="F255" s="3"/>
      <c r="G255" s="3"/>
      <c r="H255" s="3"/>
      <c r="I255" s="3"/>
      <c r="J255" s="3"/>
      <c r="K255" s="3"/>
      <c r="L255" s="3"/>
      <c r="M255" s="3"/>
      <c r="N255" s="3"/>
      <c r="O255" s="3"/>
      <c r="P255" s="3"/>
      <c r="Q255" s="3"/>
      <c r="R255" s="3"/>
      <c r="S255" s="3"/>
      <c r="T255" s="3"/>
      <c r="U255" s="3"/>
      <c r="V255" s="3"/>
      <c r="W255" s="3"/>
      <c r="X255" s="3"/>
      <c r="Y255" s="3"/>
      <c r="Z255" s="3"/>
    </row>
    <row r="256" spans="1:26">
      <c r="A256" s="131">
        <v>255</v>
      </c>
      <c r="B256" s="2" t="s">
        <v>1865</v>
      </c>
      <c r="C256" s="164">
        <v>43803</v>
      </c>
      <c r="D256" s="12" t="s">
        <v>1866</v>
      </c>
      <c r="E256" s="49"/>
      <c r="F256" s="3"/>
      <c r="G256" s="3"/>
      <c r="H256" s="3"/>
      <c r="I256" s="3"/>
      <c r="J256" s="3"/>
      <c r="K256" s="3"/>
      <c r="L256" s="3"/>
      <c r="M256" s="3"/>
      <c r="N256" s="3"/>
      <c r="O256" s="3"/>
      <c r="P256" s="3"/>
      <c r="Q256" s="3"/>
      <c r="R256" s="3"/>
      <c r="S256" s="3"/>
      <c r="T256" s="3"/>
      <c r="U256" s="3"/>
      <c r="V256" s="3"/>
      <c r="W256" s="3"/>
      <c r="X256" s="3"/>
      <c r="Y256" s="3"/>
      <c r="Z256" s="3"/>
    </row>
    <row r="257" spans="1:26">
      <c r="A257" s="131">
        <v>256</v>
      </c>
      <c r="B257" s="2" t="s">
        <v>1867</v>
      </c>
      <c r="C257" s="164">
        <v>43844</v>
      </c>
      <c r="D257" s="113" t="s">
        <v>1868</v>
      </c>
      <c r="E257" s="45"/>
      <c r="F257" s="3"/>
      <c r="G257" s="3"/>
      <c r="H257" s="3"/>
      <c r="I257" s="3"/>
      <c r="J257" s="3"/>
      <c r="K257" s="3"/>
      <c r="L257" s="3"/>
      <c r="M257" s="3"/>
      <c r="N257" s="3"/>
      <c r="O257" s="3"/>
      <c r="P257" s="3"/>
      <c r="Q257" s="3"/>
      <c r="R257" s="3"/>
      <c r="S257" s="3"/>
      <c r="T257" s="3"/>
      <c r="U257" s="3"/>
      <c r="V257" s="3"/>
      <c r="W257" s="3"/>
      <c r="X257" s="3"/>
      <c r="Y257" s="3"/>
      <c r="Z257" s="3"/>
    </row>
    <row r="258" spans="1:26">
      <c r="A258" s="131">
        <v>257</v>
      </c>
      <c r="B258" s="111" t="s">
        <v>1869</v>
      </c>
      <c r="C258" s="164">
        <v>43847</v>
      </c>
      <c r="D258" s="350" t="s">
        <v>1870</v>
      </c>
      <c r="E258" s="50"/>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c r="A259" s="131">
        <v>258</v>
      </c>
      <c r="B259" s="2" t="s">
        <v>1465</v>
      </c>
      <c r="C259" s="164">
        <v>43860</v>
      </c>
      <c r="D259" s="113" t="s">
        <v>1871</v>
      </c>
      <c r="E259" s="45"/>
      <c r="F259" s="51"/>
      <c r="G259" s="51"/>
      <c r="H259" s="51"/>
      <c r="I259" s="51"/>
      <c r="J259" s="51"/>
      <c r="K259" s="51"/>
      <c r="L259" s="51"/>
      <c r="M259" s="51"/>
      <c r="N259" s="51"/>
      <c r="O259" s="51"/>
      <c r="P259" s="51"/>
      <c r="Q259" s="51"/>
      <c r="R259" s="51"/>
      <c r="S259" s="51"/>
      <c r="T259" s="51"/>
      <c r="U259" s="51"/>
      <c r="V259" s="51"/>
      <c r="W259" s="51"/>
      <c r="X259" s="51"/>
      <c r="Y259" s="51"/>
      <c r="Z259" s="51"/>
    </row>
    <row r="260" spans="1:26">
      <c r="A260" s="131">
        <v>259</v>
      </c>
      <c r="B260" s="2" t="s">
        <v>1872</v>
      </c>
      <c r="C260" s="164">
        <v>43861</v>
      </c>
      <c r="D260" s="113" t="s">
        <v>1871</v>
      </c>
      <c r="E260" s="45"/>
      <c r="F260" s="51"/>
      <c r="G260" s="51"/>
      <c r="H260" s="51"/>
      <c r="I260" s="51"/>
      <c r="J260" s="51"/>
      <c r="K260" s="51"/>
      <c r="L260" s="51"/>
      <c r="M260" s="51"/>
      <c r="N260" s="51"/>
      <c r="O260" s="51"/>
      <c r="P260" s="51"/>
      <c r="Q260" s="51"/>
      <c r="R260" s="51"/>
      <c r="S260" s="51"/>
      <c r="T260" s="51"/>
      <c r="U260" s="51"/>
      <c r="V260" s="51"/>
      <c r="W260" s="51"/>
      <c r="X260" s="51"/>
      <c r="Y260" s="51"/>
      <c r="Z260" s="51"/>
    </row>
    <row r="261" spans="1:26">
      <c r="A261" s="131">
        <v>260</v>
      </c>
      <c r="B261" s="2" t="s">
        <v>1873</v>
      </c>
      <c r="C261" s="164">
        <v>43861</v>
      </c>
      <c r="D261" s="113" t="s">
        <v>1871</v>
      </c>
      <c r="E261" s="45"/>
      <c r="F261" s="51"/>
      <c r="G261" s="51"/>
      <c r="H261" s="51"/>
      <c r="I261" s="51"/>
      <c r="J261" s="51"/>
      <c r="K261" s="51"/>
      <c r="L261" s="51"/>
      <c r="M261" s="51"/>
      <c r="N261" s="51"/>
      <c r="O261" s="51"/>
      <c r="P261" s="51"/>
      <c r="Q261" s="51"/>
      <c r="R261" s="51"/>
      <c r="S261" s="51"/>
      <c r="T261" s="51"/>
      <c r="U261" s="51"/>
      <c r="V261" s="51"/>
      <c r="W261" s="51"/>
      <c r="X261" s="51"/>
      <c r="Y261" s="51"/>
      <c r="Z261" s="51"/>
    </row>
    <row r="262" spans="1:26">
      <c r="A262" s="131">
        <v>261</v>
      </c>
      <c r="B262" s="2" t="s">
        <v>1874</v>
      </c>
      <c r="C262" s="164">
        <v>43879</v>
      </c>
      <c r="D262" s="113" t="s">
        <v>1875</v>
      </c>
      <c r="E262" s="45"/>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c r="A263" s="131">
        <v>262</v>
      </c>
      <c r="B263" s="2" t="str">
        <f>HYPERLINK("https://www.microsave.net/2020/04/13/digital-rosca-the-new-kid-on-the-block/","Digital ROSCA—the new kid on the block")</f>
        <v>Digital ROSCA—the new kid on the block</v>
      </c>
      <c r="C263" s="164">
        <v>43934</v>
      </c>
      <c r="D263" s="2" t="s">
        <v>1876</v>
      </c>
      <c r="E263" s="45"/>
      <c r="F263" s="3"/>
      <c r="G263" s="3"/>
      <c r="H263" s="3"/>
      <c r="I263" s="3"/>
      <c r="J263" s="3"/>
      <c r="K263" s="3"/>
      <c r="L263" s="3"/>
      <c r="M263" s="3"/>
      <c r="N263" s="3"/>
      <c r="O263" s="3"/>
      <c r="P263" s="3"/>
      <c r="Q263" s="3"/>
      <c r="R263" s="3"/>
      <c r="S263" s="3"/>
      <c r="T263" s="3"/>
      <c r="U263" s="3"/>
      <c r="V263" s="3"/>
      <c r="W263" s="3"/>
      <c r="X263" s="3"/>
      <c r="Y263" s="3"/>
      <c r="Z263" s="3"/>
    </row>
    <row r="264" spans="1:26">
      <c r="A264" s="131">
        <v>263</v>
      </c>
      <c r="B264" s="2" t="s">
        <v>1877</v>
      </c>
      <c r="C264" s="164">
        <v>43901</v>
      </c>
      <c r="D264" s="113" t="s">
        <v>1878</v>
      </c>
      <c r="E264" s="45"/>
      <c r="F264" s="3"/>
      <c r="G264" s="3"/>
      <c r="H264" s="3"/>
      <c r="I264" s="3"/>
      <c r="J264" s="3"/>
      <c r="K264" s="3"/>
      <c r="L264" s="3"/>
      <c r="M264" s="3"/>
      <c r="N264" s="3"/>
      <c r="O264" s="3"/>
      <c r="P264" s="3"/>
      <c r="Q264" s="3"/>
      <c r="R264" s="3"/>
      <c r="S264" s="3"/>
      <c r="T264" s="3"/>
      <c r="U264" s="3"/>
      <c r="V264" s="3"/>
      <c r="W264" s="3"/>
      <c r="X264" s="3"/>
      <c r="Y264" s="3"/>
      <c r="Z264" s="3"/>
    </row>
    <row r="265" spans="1:26">
      <c r="A265" s="131">
        <v>264</v>
      </c>
      <c r="B265" s="2" t="s">
        <v>1879</v>
      </c>
      <c r="C265" s="164">
        <v>43934</v>
      </c>
      <c r="D265" s="113" t="s">
        <v>1880</v>
      </c>
      <c r="E265" s="45"/>
      <c r="F265" s="3"/>
      <c r="G265" s="3"/>
      <c r="H265" s="3"/>
      <c r="I265" s="3"/>
      <c r="J265" s="3"/>
      <c r="K265" s="3"/>
      <c r="L265" s="3"/>
      <c r="M265" s="3"/>
      <c r="N265" s="3"/>
      <c r="O265" s="3"/>
      <c r="P265" s="3"/>
      <c r="Q265" s="3"/>
      <c r="R265" s="3"/>
      <c r="S265" s="3"/>
      <c r="T265" s="3"/>
      <c r="U265" s="3"/>
      <c r="V265" s="3"/>
      <c r="W265" s="3"/>
      <c r="X265" s="3"/>
      <c r="Y265" s="3"/>
      <c r="Z265" s="3"/>
    </row>
    <row r="266" spans="1:26" ht="28.8">
      <c r="A266" s="131">
        <v>265</v>
      </c>
      <c r="B266" s="2" t="s">
        <v>1881</v>
      </c>
      <c r="C266" s="164">
        <v>43935</v>
      </c>
      <c r="D266" s="113" t="s">
        <v>4904</v>
      </c>
      <c r="E266" s="45"/>
      <c r="F266" s="3"/>
      <c r="G266" s="3"/>
      <c r="H266" s="3"/>
      <c r="I266" s="3"/>
      <c r="J266" s="3"/>
      <c r="K266" s="3"/>
      <c r="L266" s="3"/>
      <c r="M266" s="3"/>
      <c r="N266" s="3"/>
      <c r="O266" s="3"/>
      <c r="P266" s="3"/>
      <c r="Q266" s="3"/>
      <c r="R266" s="3"/>
      <c r="S266" s="3"/>
      <c r="T266" s="3"/>
      <c r="U266" s="3"/>
      <c r="V266" s="3"/>
      <c r="W266" s="3"/>
      <c r="X266" s="3"/>
      <c r="Y266" s="3"/>
      <c r="Z266" s="3"/>
    </row>
    <row r="267" spans="1:26">
      <c r="A267" s="131">
        <v>266</v>
      </c>
      <c r="B267" s="2" t="s">
        <v>1882</v>
      </c>
      <c r="C267" s="75">
        <v>43936</v>
      </c>
      <c r="D267" s="113" t="s">
        <v>1883</v>
      </c>
      <c r="E267" s="45"/>
      <c r="F267" s="3"/>
      <c r="G267" s="3"/>
      <c r="H267" s="3"/>
      <c r="I267" s="3"/>
      <c r="J267" s="3"/>
      <c r="K267" s="3"/>
      <c r="L267" s="3"/>
      <c r="M267" s="3"/>
      <c r="N267" s="3"/>
      <c r="O267" s="3"/>
      <c r="P267" s="3"/>
      <c r="Q267" s="3"/>
      <c r="R267" s="3"/>
      <c r="S267" s="3"/>
      <c r="T267" s="3"/>
      <c r="U267" s="3"/>
      <c r="V267" s="3"/>
      <c r="W267" s="3"/>
      <c r="X267" s="3"/>
      <c r="Y267" s="3"/>
      <c r="Z267" s="3"/>
    </row>
    <row r="268" spans="1:26">
      <c r="A268" s="131">
        <v>267</v>
      </c>
      <c r="B268" s="2" t="s">
        <v>1884</v>
      </c>
      <c r="C268" s="75">
        <v>43936</v>
      </c>
      <c r="D268" s="113" t="s">
        <v>1885</v>
      </c>
      <c r="E268" s="45"/>
      <c r="F268" s="3"/>
      <c r="G268" s="3"/>
      <c r="H268" s="3"/>
      <c r="I268" s="3"/>
      <c r="J268" s="3"/>
      <c r="K268" s="3"/>
      <c r="L268" s="3"/>
      <c r="M268" s="3"/>
      <c r="N268" s="3"/>
      <c r="O268" s="3"/>
      <c r="P268" s="3"/>
      <c r="Q268" s="3"/>
      <c r="R268" s="3"/>
      <c r="S268" s="3"/>
      <c r="T268" s="3"/>
      <c r="U268" s="3"/>
      <c r="V268" s="3"/>
      <c r="W268" s="3"/>
      <c r="X268" s="3"/>
      <c r="Y268" s="3"/>
      <c r="Z268" s="3"/>
    </row>
    <row r="269" spans="1:26">
      <c r="A269" s="131">
        <v>268</v>
      </c>
      <c r="B269" s="2" t="s">
        <v>1886</v>
      </c>
      <c r="C269" s="75">
        <v>43937</v>
      </c>
      <c r="D269" s="113" t="s">
        <v>1887</v>
      </c>
      <c r="E269" s="45"/>
      <c r="F269" s="3"/>
      <c r="G269" s="3"/>
      <c r="H269" s="3"/>
      <c r="I269" s="3"/>
      <c r="J269" s="3"/>
      <c r="K269" s="3"/>
      <c r="L269" s="3"/>
      <c r="M269" s="3"/>
      <c r="N269" s="3"/>
      <c r="O269" s="3"/>
      <c r="P269" s="3"/>
      <c r="Q269" s="3"/>
      <c r="R269" s="3"/>
      <c r="S269" s="3"/>
      <c r="T269" s="3"/>
      <c r="U269" s="3"/>
      <c r="V269" s="3"/>
      <c r="W269" s="3"/>
      <c r="X269" s="3"/>
      <c r="Y269" s="3"/>
      <c r="Z269" s="3"/>
    </row>
    <row r="270" spans="1:26">
      <c r="A270" s="131">
        <v>269</v>
      </c>
      <c r="B270" s="2" t="s">
        <v>1888</v>
      </c>
      <c r="C270" s="75">
        <v>43937</v>
      </c>
      <c r="D270" s="113" t="s">
        <v>1889</v>
      </c>
      <c r="E270" s="45"/>
      <c r="F270" s="3"/>
      <c r="G270" s="3"/>
      <c r="H270" s="3"/>
      <c r="I270" s="3"/>
      <c r="J270" s="3"/>
      <c r="K270" s="3"/>
      <c r="L270" s="3"/>
      <c r="M270" s="3"/>
      <c r="N270" s="3"/>
      <c r="O270" s="3"/>
      <c r="P270" s="3"/>
      <c r="Q270" s="3"/>
      <c r="R270" s="3"/>
      <c r="S270" s="3"/>
      <c r="T270" s="3"/>
      <c r="U270" s="3"/>
      <c r="V270" s="3"/>
      <c r="W270" s="3"/>
      <c r="X270" s="3"/>
      <c r="Y270" s="3"/>
      <c r="Z270" s="3"/>
    </row>
    <row r="271" spans="1:26">
      <c r="A271" s="131">
        <v>270</v>
      </c>
      <c r="B271" s="2" t="s">
        <v>1406</v>
      </c>
      <c r="C271" s="75">
        <v>43941</v>
      </c>
      <c r="D271" s="113" t="s">
        <v>1408</v>
      </c>
      <c r="E271" s="45"/>
      <c r="F271" s="3"/>
      <c r="G271" s="3"/>
      <c r="H271" s="3"/>
      <c r="I271" s="3"/>
      <c r="J271" s="3"/>
      <c r="K271" s="3"/>
      <c r="L271" s="3"/>
      <c r="M271" s="3"/>
      <c r="N271" s="3"/>
      <c r="O271" s="3"/>
      <c r="P271" s="3"/>
      <c r="Q271" s="3"/>
      <c r="R271" s="3"/>
      <c r="S271" s="3"/>
      <c r="T271" s="3"/>
      <c r="U271" s="3"/>
      <c r="V271" s="3"/>
      <c r="W271" s="3"/>
      <c r="X271" s="3"/>
      <c r="Y271" s="3"/>
      <c r="Z271" s="3"/>
    </row>
    <row r="272" spans="1:26">
      <c r="A272" s="131">
        <v>271</v>
      </c>
      <c r="B272" s="2" t="s">
        <v>1890</v>
      </c>
      <c r="C272" s="75">
        <v>43944</v>
      </c>
      <c r="D272" s="136" t="s">
        <v>1891</v>
      </c>
      <c r="E272" s="52"/>
      <c r="F272" s="3"/>
      <c r="G272" s="3"/>
      <c r="H272" s="3"/>
      <c r="I272" s="3"/>
      <c r="J272" s="3"/>
      <c r="K272" s="3"/>
      <c r="L272" s="3"/>
      <c r="M272" s="3"/>
      <c r="N272" s="3"/>
      <c r="O272" s="3"/>
      <c r="P272" s="3"/>
      <c r="Q272" s="3"/>
      <c r="R272" s="3"/>
      <c r="S272" s="3"/>
      <c r="T272" s="3"/>
      <c r="U272" s="3"/>
      <c r="V272" s="3"/>
      <c r="W272" s="3"/>
      <c r="X272" s="3"/>
      <c r="Y272" s="3"/>
      <c r="Z272" s="3"/>
    </row>
    <row r="273" spans="1:26">
      <c r="A273" s="131">
        <v>272</v>
      </c>
      <c r="B273" s="2" t="s">
        <v>1892</v>
      </c>
      <c r="C273" s="75">
        <v>43944</v>
      </c>
      <c r="D273" s="136" t="s">
        <v>1891</v>
      </c>
      <c r="E273" s="52"/>
      <c r="F273" s="3"/>
      <c r="G273" s="3"/>
      <c r="H273" s="3"/>
      <c r="I273" s="3"/>
      <c r="J273" s="3"/>
      <c r="K273" s="3"/>
      <c r="L273" s="3"/>
      <c r="M273" s="3"/>
      <c r="N273" s="3"/>
      <c r="O273" s="3"/>
      <c r="P273" s="3"/>
      <c r="Q273" s="3"/>
      <c r="R273" s="3"/>
      <c r="S273" s="3"/>
      <c r="T273" s="3"/>
      <c r="U273" s="3"/>
      <c r="V273" s="3"/>
      <c r="W273" s="3"/>
      <c r="X273" s="3"/>
      <c r="Y273" s="3"/>
      <c r="Z273" s="3"/>
    </row>
    <row r="274" spans="1:26">
      <c r="A274" s="131">
        <v>273</v>
      </c>
      <c r="B274" s="2" t="s">
        <v>1893</v>
      </c>
      <c r="C274" s="75">
        <v>43950</v>
      </c>
      <c r="D274" s="136" t="s">
        <v>1894</v>
      </c>
      <c r="E274" s="52"/>
      <c r="F274" s="3"/>
      <c r="G274" s="3"/>
      <c r="H274" s="3"/>
      <c r="I274" s="3"/>
      <c r="J274" s="3"/>
      <c r="K274" s="3"/>
      <c r="L274" s="3"/>
      <c r="M274" s="3"/>
      <c r="N274" s="3"/>
      <c r="O274" s="3"/>
      <c r="P274" s="3"/>
      <c r="Q274" s="3"/>
      <c r="R274" s="3"/>
      <c r="S274" s="3"/>
      <c r="T274" s="3"/>
      <c r="U274" s="3"/>
      <c r="V274" s="3"/>
      <c r="W274" s="3"/>
      <c r="X274" s="3"/>
      <c r="Y274" s="3"/>
      <c r="Z274" s="3"/>
    </row>
    <row r="275" spans="1:26">
      <c r="A275" s="131">
        <v>274</v>
      </c>
      <c r="B275" s="2" t="s">
        <v>1403</v>
      </c>
      <c r="C275" s="75">
        <v>43951</v>
      </c>
      <c r="D275" s="12" t="s">
        <v>1895</v>
      </c>
      <c r="E275" s="49"/>
      <c r="F275" s="3"/>
      <c r="G275" s="3"/>
      <c r="H275" s="3"/>
      <c r="I275" s="3"/>
      <c r="J275" s="3"/>
      <c r="K275" s="3"/>
      <c r="L275" s="3"/>
      <c r="M275" s="3"/>
      <c r="N275" s="3"/>
      <c r="O275" s="3"/>
      <c r="P275" s="3"/>
      <c r="Q275" s="3"/>
      <c r="R275" s="3"/>
      <c r="S275" s="3"/>
      <c r="T275" s="3"/>
      <c r="U275" s="3"/>
      <c r="V275" s="3"/>
      <c r="W275" s="3"/>
      <c r="X275" s="3"/>
      <c r="Y275" s="3"/>
      <c r="Z275" s="3"/>
    </row>
    <row r="276" spans="1:26">
      <c r="A276" s="131">
        <v>275</v>
      </c>
      <c r="B276" s="2" t="s">
        <v>1896</v>
      </c>
      <c r="C276" s="75">
        <v>43956</v>
      </c>
      <c r="D276" s="2" t="s">
        <v>1897</v>
      </c>
      <c r="E276" s="53"/>
      <c r="F276" s="3"/>
      <c r="G276" s="3"/>
      <c r="H276" s="3"/>
      <c r="I276" s="3"/>
      <c r="J276" s="3"/>
      <c r="K276" s="3"/>
      <c r="L276" s="3"/>
      <c r="M276" s="3"/>
      <c r="N276" s="3"/>
      <c r="O276" s="3"/>
      <c r="P276" s="3"/>
      <c r="Q276" s="3"/>
      <c r="R276" s="3"/>
      <c r="S276" s="3"/>
      <c r="T276" s="3"/>
      <c r="U276" s="3"/>
      <c r="V276" s="3"/>
      <c r="W276" s="3"/>
      <c r="X276" s="3"/>
      <c r="Y276" s="3"/>
      <c r="Z276" s="3"/>
    </row>
    <row r="277" spans="1:26">
      <c r="A277" s="131">
        <v>276</v>
      </c>
      <c r="B277" s="2" t="s">
        <v>1400</v>
      </c>
      <c r="C277" s="75">
        <v>43957</v>
      </c>
      <c r="D277" s="12" t="s">
        <v>1898</v>
      </c>
      <c r="E277" s="49"/>
      <c r="F277" s="3"/>
      <c r="G277" s="3"/>
      <c r="H277" s="3"/>
      <c r="I277" s="3"/>
      <c r="J277" s="3"/>
      <c r="K277" s="3"/>
      <c r="L277" s="3"/>
      <c r="M277" s="3"/>
      <c r="N277" s="3"/>
      <c r="O277" s="3"/>
      <c r="P277" s="3"/>
      <c r="Q277" s="3"/>
      <c r="R277" s="3"/>
      <c r="S277" s="3"/>
      <c r="T277" s="3"/>
      <c r="U277" s="3"/>
      <c r="V277" s="3"/>
      <c r="W277" s="3"/>
      <c r="X277" s="3"/>
      <c r="Y277" s="3"/>
      <c r="Z277" s="3"/>
    </row>
    <row r="278" spans="1:26">
      <c r="A278" s="131">
        <v>277</v>
      </c>
      <c r="B278" s="2" t="s">
        <v>1899</v>
      </c>
      <c r="C278" s="164">
        <v>43959</v>
      </c>
      <c r="D278" s="113" t="s">
        <v>1900</v>
      </c>
      <c r="E278" s="45"/>
      <c r="F278" s="3"/>
      <c r="G278" s="3"/>
      <c r="H278" s="3"/>
      <c r="I278" s="3"/>
      <c r="J278" s="3"/>
      <c r="K278" s="3"/>
      <c r="L278" s="3"/>
      <c r="M278" s="3"/>
      <c r="N278" s="3"/>
      <c r="O278" s="3"/>
      <c r="P278" s="3"/>
      <c r="Q278" s="3"/>
      <c r="R278" s="3"/>
      <c r="S278" s="3"/>
      <c r="T278" s="3"/>
      <c r="U278" s="3"/>
      <c r="V278" s="3"/>
      <c r="W278" s="3"/>
      <c r="X278" s="3"/>
      <c r="Y278" s="3"/>
      <c r="Z278" s="3"/>
    </row>
    <row r="279" spans="1:26" ht="28.8">
      <c r="A279" s="131">
        <v>278</v>
      </c>
      <c r="B279" s="2" t="s">
        <v>1901</v>
      </c>
      <c r="C279" s="164">
        <v>43959</v>
      </c>
      <c r="D279" s="113" t="s">
        <v>1628</v>
      </c>
      <c r="E279" s="45"/>
      <c r="F279" s="3"/>
      <c r="G279" s="3"/>
      <c r="H279" s="3"/>
      <c r="I279" s="3"/>
      <c r="J279" s="3"/>
      <c r="K279" s="3"/>
      <c r="L279" s="3"/>
      <c r="M279" s="3"/>
      <c r="N279" s="3"/>
      <c r="O279" s="3"/>
      <c r="P279" s="3"/>
      <c r="Q279" s="3"/>
      <c r="R279" s="3"/>
      <c r="S279" s="3"/>
      <c r="T279" s="3"/>
      <c r="U279" s="3"/>
      <c r="V279" s="3"/>
      <c r="W279" s="3"/>
      <c r="X279" s="3"/>
      <c r="Y279" s="3"/>
      <c r="Z279" s="3"/>
    </row>
    <row r="280" spans="1:26">
      <c r="A280" s="131">
        <v>279</v>
      </c>
      <c r="B280" s="2" t="s">
        <v>1902</v>
      </c>
      <c r="C280" s="164">
        <v>43965</v>
      </c>
      <c r="D280" s="12" t="s">
        <v>1903</v>
      </c>
      <c r="E280" s="49"/>
      <c r="F280" s="3"/>
      <c r="G280" s="3"/>
      <c r="H280" s="3"/>
      <c r="I280" s="3"/>
      <c r="J280" s="3"/>
      <c r="K280" s="3"/>
      <c r="L280" s="3"/>
      <c r="M280" s="3"/>
      <c r="N280" s="3"/>
      <c r="O280" s="3"/>
      <c r="P280" s="3"/>
      <c r="Q280" s="3"/>
      <c r="R280" s="3"/>
      <c r="S280" s="3"/>
      <c r="T280" s="3"/>
      <c r="U280" s="3"/>
      <c r="V280" s="3"/>
      <c r="W280" s="3"/>
      <c r="X280" s="3"/>
      <c r="Y280" s="3"/>
      <c r="Z280" s="3"/>
    </row>
    <row r="281" spans="1:26">
      <c r="A281" s="131">
        <v>280</v>
      </c>
      <c r="B281" s="2" t="s">
        <v>1904</v>
      </c>
      <c r="C281" s="164">
        <v>43973</v>
      </c>
      <c r="D281" s="12" t="s">
        <v>1905</v>
      </c>
      <c r="E281" s="49"/>
      <c r="F281" s="3"/>
      <c r="G281" s="3"/>
      <c r="H281" s="3"/>
      <c r="I281" s="3"/>
      <c r="J281" s="3"/>
      <c r="K281" s="3"/>
      <c r="L281" s="3"/>
      <c r="M281" s="3"/>
      <c r="N281" s="3"/>
      <c r="O281" s="3"/>
      <c r="P281" s="3"/>
      <c r="Q281" s="3"/>
      <c r="R281" s="3"/>
      <c r="S281" s="3"/>
      <c r="T281" s="3"/>
      <c r="U281" s="3"/>
      <c r="V281" s="3"/>
      <c r="W281" s="3"/>
      <c r="X281" s="3"/>
      <c r="Y281" s="3"/>
      <c r="Z281" s="3"/>
    </row>
    <row r="282" spans="1:26">
      <c r="A282" s="131">
        <v>281</v>
      </c>
      <c r="B282" s="2" t="s">
        <v>1906</v>
      </c>
      <c r="C282" s="164">
        <v>43971</v>
      </c>
      <c r="D282" s="12" t="s">
        <v>1907</v>
      </c>
      <c r="E282" s="49"/>
      <c r="F282" s="3"/>
      <c r="G282" s="3"/>
      <c r="H282" s="3"/>
      <c r="I282" s="3"/>
      <c r="J282" s="3"/>
      <c r="K282" s="3"/>
      <c r="L282" s="3"/>
      <c r="M282" s="3"/>
      <c r="N282" s="3"/>
      <c r="O282" s="3"/>
      <c r="P282" s="3"/>
      <c r="Q282" s="3"/>
      <c r="R282" s="3"/>
      <c r="S282" s="3"/>
      <c r="T282" s="3"/>
      <c r="U282" s="3"/>
      <c r="V282" s="3"/>
      <c r="W282" s="3"/>
      <c r="X282" s="3"/>
      <c r="Y282" s="3"/>
      <c r="Z282" s="3"/>
    </row>
    <row r="283" spans="1:26">
      <c r="A283" s="131">
        <v>282</v>
      </c>
      <c r="B283" s="2" t="s">
        <v>1908</v>
      </c>
      <c r="C283" s="164">
        <v>43972</v>
      </c>
      <c r="D283" s="12" t="s">
        <v>1909</v>
      </c>
      <c r="E283" s="49"/>
      <c r="F283" s="3"/>
      <c r="G283" s="3"/>
      <c r="H283" s="3"/>
      <c r="I283" s="3"/>
      <c r="J283" s="3"/>
      <c r="K283" s="3"/>
      <c r="L283" s="3"/>
      <c r="M283" s="3"/>
      <c r="N283" s="3"/>
      <c r="O283" s="3"/>
      <c r="P283" s="3"/>
      <c r="Q283" s="3"/>
      <c r="R283" s="3"/>
      <c r="S283" s="3"/>
      <c r="T283" s="3"/>
      <c r="U283" s="3"/>
      <c r="V283" s="3"/>
      <c r="W283" s="3"/>
      <c r="X283" s="3"/>
      <c r="Y283" s="3"/>
      <c r="Z283" s="3"/>
    </row>
    <row r="284" spans="1:26">
      <c r="A284" s="131">
        <v>283</v>
      </c>
      <c r="B284" s="2" t="s">
        <v>1910</v>
      </c>
      <c r="C284" s="164">
        <v>43973</v>
      </c>
      <c r="D284" s="12" t="s">
        <v>1911</v>
      </c>
      <c r="E284" s="49"/>
      <c r="F284" s="3"/>
      <c r="G284" s="3"/>
      <c r="H284" s="3"/>
      <c r="I284" s="3"/>
      <c r="J284" s="3"/>
      <c r="K284" s="3"/>
      <c r="L284" s="3"/>
      <c r="M284" s="3"/>
      <c r="N284" s="3"/>
      <c r="O284" s="3"/>
      <c r="P284" s="3"/>
      <c r="Q284" s="3"/>
      <c r="R284" s="3"/>
      <c r="S284" s="3"/>
      <c r="T284" s="3"/>
      <c r="U284" s="3"/>
      <c r="V284" s="3"/>
      <c r="W284" s="3"/>
      <c r="X284" s="3"/>
      <c r="Y284" s="3"/>
      <c r="Z284" s="3"/>
    </row>
    <row r="285" spans="1:26">
      <c r="A285" s="131">
        <v>284</v>
      </c>
      <c r="B285" s="2" t="s">
        <v>1912</v>
      </c>
      <c r="C285" s="164">
        <v>43977</v>
      </c>
      <c r="D285" s="12" t="s">
        <v>1913</v>
      </c>
      <c r="E285" s="49"/>
      <c r="F285" s="3"/>
      <c r="G285" s="3"/>
      <c r="H285" s="3"/>
      <c r="I285" s="3"/>
      <c r="J285" s="3"/>
      <c r="K285" s="3"/>
      <c r="L285" s="3"/>
      <c r="M285" s="3"/>
      <c r="N285" s="3"/>
      <c r="O285" s="3"/>
      <c r="P285" s="3"/>
      <c r="Q285" s="3"/>
      <c r="R285" s="3"/>
      <c r="S285" s="3"/>
      <c r="T285" s="3"/>
      <c r="U285" s="3"/>
      <c r="V285" s="3"/>
      <c r="W285" s="3"/>
      <c r="X285" s="3"/>
      <c r="Y285" s="3"/>
      <c r="Z285" s="3"/>
    </row>
    <row r="286" spans="1:26">
      <c r="A286" s="131">
        <v>285</v>
      </c>
      <c r="B286" s="2" t="s">
        <v>1914</v>
      </c>
      <c r="C286" s="164">
        <v>43978</v>
      </c>
      <c r="D286" s="12" t="s">
        <v>1915</v>
      </c>
      <c r="E286" s="49"/>
      <c r="F286" s="3"/>
      <c r="G286" s="3"/>
      <c r="H286" s="3"/>
      <c r="I286" s="3"/>
      <c r="J286" s="3"/>
      <c r="K286" s="3"/>
      <c r="L286" s="3"/>
      <c r="M286" s="3"/>
      <c r="N286" s="3"/>
      <c r="O286" s="3"/>
      <c r="P286" s="3"/>
      <c r="Q286" s="3"/>
      <c r="R286" s="3"/>
      <c r="S286" s="3"/>
      <c r="T286" s="3"/>
      <c r="U286" s="3"/>
      <c r="V286" s="3"/>
      <c r="W286" s="3"/>
      <c r="X286" s="3"/>
      <c r="Y286" s="3"/>
      <c r="Z286" s="3"/>
    </row>
    <row r="287" spans="1:26">
      <c r="A287" s="131">
        <v>286</v>
      </c>
      <c r="B287" s="2" t="s">
        <v>1397</v>
      </c>
      <c r="C287" s="164">
        <v>43978</v>
      </c>
      <c r="D287" s="12" t="s">
        <v>1916</v>
      </c>
      <c r="E287" s="49"/>
      <c r="F287" s="3"/>
      <c r="G287" s="3"/>
      <c r="H287" s="3"/>
      <c r="I287" s="3"/>
      <c r="J287" s="3"/>
      <c r="K287" s="3"/>
      <c r="L287" s="3"/>
      <c r="M287" s="3"/>
      <c r="N287" s="3"/>
      <c r="O287" s="3"/>
      <c r="P287" s="3"/>
      <c r="Q287" s="3"/>
      <c r="R287" s="3"/>
      <c r="S287" s="3"/>
      <c r="T287" s="3"/>
      <c r="U287" s="3"/>
      <c r="V287" s="3"/>
      <c r="W287" s="3"/>
      <c r="X287" s="3"/>
      <c r="Y287" s="3"/>
      <c r="Z287" s="3"/>
    </row>
    <row r="288" spans="1:26">
      <c r="A288" s="131">
        <v>287</v>
      </c>
      <c r="B288" s="2" t="s">
        <v>1917</v>
      </c>
      <c r="C288" s="164">
        <v>43979</v>
      </c>
      <c r="D288" s="12" t="s">
        <v>1918</v>
      </c>
      <c r="E288" s="49"/>
      <c r="F288" s="3"/>
      <c r="G288" s="3"/>
      <c r="H288" s="3"/>
      <c r="I288" s="3"/>
      <c r="J288" s="3"/>
      <c r="K288" s="3"/>
      <c r="L288" s="3"/>
      <c r="M288" s="3"/>
      <c r="N288" s="3"/>
      <c r="O288" s="3"/>
      <c r="P288" s="3"/>
      <c r="Q288" s="3"/>
      <c r="R288" s="3"/>
      <c r="S288" s="3"/>
      <c r="T288" s="3"/>
      <c r="U288" s="3"/>
      <c r="V288" s="3"/>
      <c r="W288" s="3"/>
      <c r="X288" s="3"/>
      <c r="Y288" s="3"/>
      <c r="Z288" s="3"/>
    </row>
    <row r="289" spans="1:26">
      <c r="A289" s="131">
        <v>288</v>
      </c>
      <c r="B289" s="2" t="s">
        <v>1396</v>
      </c>
      <c r="C289" s="164">
        <v>43984</v>
      </c>
      <c r="D289" s="12" t="s">
        <v>1919</v>
      </c>
      <c r="E289" s="49"/>
      <c r="F289" s="3"/>
      <c r="G289" s="3"/>
      <c r="H289" s="3"/>
      <c r="I289" s="3"/>
      <c r="J289" s="3"/>
      <c r="K289" s="3"/>
      <c r="L289" s="3"/>
      <c r="M289" s="3"/>
      <c r="N289" s="3"/>
      <c r="O289" s="3"/>
      <c r="P289" s="3"/>
      <c r="Q289" s="3"/>
      <c r="R289" s="3"/>
      <c r="S289" s="3"/>
      <c r="T289" s="3"/>
      <c r="U289" s="3"/>
      <c r="V289" s="3"/>
      <c r="W289" s="3"/>
      <c r="X289" s="3"/>
      <c r="Y289" s="3"/>
      <c r="Z289" s="3"/>
    </row>
    <row r="290" spans="1:26">
      <c r="A290" s="131">
        <v>289</v>
      </c>
      <c r="B290" s="2" t="s">
        <v>1394</v>
      </c>
      <c r="C290" s="164">
        <v>43984</v>
      </c>
      <c r="D290" s="12" t="s">
        <v>1919</v>
      </c>
      <c r="E290" s="49"/>
      <c r="F290" s="3"/>
      <c r="G290" s="3"/>
      <c r="H290" s="3"/>
      <c r="I290" s="3"/>
      <c r="J290" s="3"/>
      <c r="K290" s="3"/>
      <c r="L290" s="3"/>
      <c r="M290" s="3"/>
      <c r="N290" s="3"/>
      <c r="O290" s="3"/>
      <c r="P290" s="3"/>
      <c r="Q290" s="3"/>
      <c r="R290" s="3"/>
      <c r="S290" s="3"/>
      <c r="T290" s="3"/>
      <c r="U290" s="3"/>
      <c r="V290" s="3"/>
      <c r="W290" s="3"/>
      <c r="X290" s="3"/>
      <c r="Y290" s="3"/>
      <c r="Z290" s="3"/>
    </row>
    <row r="291" spans="1:26" ht="28.8">
      <c r="A291" s="131">
        <v>290</v>
      </c>
      <c r="B291" s="2" t="s">
        <v>1920</v>
      </c>
      <c r="C291" s="164">
        <v>43984</v>
      </c>
      <c r="D291" s="12" t="s">
        <v>1921</v>
      </c>
      <c r="E291" s="49"/>
      <c r="F291" s="3"/>
      <c r="G291" s="3"/>
      <c r="H291" s="113"/>
      <c r="I291" s="3"/>
      <c r="J291" s="3"/>
      <c r="K291" s="3"/>
      <c r="L291" s="3"/>
      <c r="M291" s="3"/>
      <c r="N291" s="3"/>
      <c r="O291" s="3"/>
      <c r="P291" s="3"/>
      <c r="Q291" s="3"/>
      <c r="R291" s="3"/>
      <c r="S291" s="3"/>
      <c r="T291" s="3"/>
      <c r="U291" s="3"/>
      <c r="V291" s="3"/>
      <c r="W291" s="3"/>
      <c r="X291" s="3"/>
      <c r="Y291" s="3"/>
      <c r="Z291" s="3"/>
    </row>
    <row r="292" spans="1:26">
      <c r="A292" s="131">
        <v>291</v>
      </c>
      <c r="B292" s="2" t="s">
        <v>1922</v>
      </c>
      <c r="C292" s="75">
        <v>43987</v>
      </c>
      <c r="D292" s="12" t="s">
        <v>1923</v>
      </c>
      <c r="E292" s="49"/>
      <c r="F292" s="3"/>
      <c r="G292" s="3"/>
      <c r="H292" s="3"/>
      <c r="I292" s="3"/>
      <c r="J292" s="3"/>
      <c r="K292" s="3"/>
      <c r="L292" s="3"/>
      <c r="M292" s="3"/>
      <c r="N292" s="3"/>
      <c r="O292" s="3"/>
      <c r="P292" s="3"/>
      <c r="Q292" s="3"/>
      <c r="R292" s="3"/>
      <c r="S292" s="3"/>
      <c r="T292" s="3"/>
      <c r="U292" s="3"/>
      <c r="V292" s="3"/>
      <c r="W292" s="3"/>
      <c r="X292" s="3"/>
      <c r="Y292" s="3"/>
      <c r="Z292" s="3"/>
    </row>
    <row r="293" spans="1:26">
      <c r="A293" s="131">
        <v>292</v>
      </c>
      <c r="B293" s="2" t="s">
        <v>1924</v>
      </c>
      <c r="C293" s="164">
        <v>43991</v>
      </c>
      <c r="D293" s="12" t="s">
        <v>1925</v>
      </c>
      <c r="E293" s="49"/>
      <c r="F293" s="3"/>
      <c r="G293" s="3"/>
      <c r="H293" s="3"/>
      <c r="I293" s="3"/>
      <c r="J293" s="3"/>
      <c r="K293" s="3"/>
      <c r="L293" s="3"/>
      <c r="M293" s="3"/>
      <c r="N293" s="3"/>
      <c r="O293" s="3"/>
      <c r="P293" s="3"/>
      <c r="Q293" s="3"/>
      <c r="R293" s="3"/>
      <c r="S293" s="3"/>
      <c r="T293" s="3"/>
      <c r="U293" s="3"/>
      <c r="V293" s="3"/>
      <c r="W293" s="3"/>
      <c r="X293" s="3"/>
      <c r="Y293" s="3"/>
      <c r="Z293" s="3"/>
    </row>
    <row r="294" spans="1:26">
      <c r="A294" s="131">
        <v>293</v>
      </c>
      <c r="B294" s="2" t="s">
        <v>1926</v>
      </c>
      <c r="C294" s="164">
        <v>43994</v>
      </c>
      <c r="D294" s="12" t="s">
        <v>1927</v>
      </c>
      <c r="E294" s="49"/>
      <c r="F294" s="3"/>
      <c r="G294" s="3"/>
      <c r="H294" s="3"/>
      <c r="I294" s="3"/>
      <c r="J294" s="3"/>
      <c r="K294" s="3"/>
      <c r="L294" s="3"/>
      <c r="M294" s="3"/>
      <c r="N294" s="3"/>
      <c r="O294" s="3"/>
      <c r="P294" s="3"/>
      <c r="Q294" s="3"/>
      <c r="R294" s="3"/>
      <c r="S294" s="3"/>
      <c r="T294" s="3"/>
      <c r="U294" s="3"/>
      <c r="V294" s="3"/>
      <c r="W294" s="3"/>
      <c r="X294" s="3"/>
      <c r="Y294" s="3"/>
      <c r="Z294" s="3"/>
    </row>
    <row r="295" spans="1:26">
      <c r="A295" s="131">
        <v>294</v>
      </c>
      <c r="B295" s="2" t="s">
        <v>1928</v>
      </c>
      <c r="C295" s="164">
        <v>43994</v>
      </c>
      <c r="D295" s="12" t="s">
        <v>1929</v>
      </c>
      <c r="E295" s="49"/>
      <c r="F295" s="3"/>
      <c r="G295" s="3"/>
      <c r="H295" s="3"/>
      <c r="I295" s="3"/>
      <c r="J295" s="3"/>
      <c r="K295" s="3"/>
      <c r="L295" s="3"/>
      <c r="M295" s="3"/>
      <c r="N295" s="3"/>
      <c r="O295" s="3"/>
      <c r="P295" s="3"/>
      <c r="Q295" s="3"/>
      <c r="R295" s="3"/>
      <c r="S295" s="3"/>
      <c r="T295" s="3"/>
      <c r="U295" s="3"/>
      <c r="V295" s="3"/>
      <c r="W295" s="3"/>
      <c r="X295" s="3"/>
      <c r="Y295" s="3"/>
      <c r="Z295" s="3"/>
    </row>
    <row r="296" spans="1:26">
      <c r="A296" s="131">
        <v>295</v>
      </c>
      <c r="B296" s="2" t="s">
        <v>1930</v>
      </c>
      <c r="C296" s="164">
        <v>43997</v>
      </c>
      <c r="D296" s="12" t="s">
        <v>1931</v>
      </c>
      <c r="E296" s="49"/>
      <c r="F296" s="3"/>
      <c r="G296" s="3"/>
      <c r="H296" s="3"/>
      <c r="I296" s="3"/>
      <c r="J296" s="3"/>
      <c r="K296" s="3"/>
      <c r="L296" s="3"/>
      <c r="M296" s="3"/>
      <c r="N296" s="3"/>
      <c r="O296" s="3"/>
      <c r="P296" s="3"/>
      <c r="Q296" s="3"/>
      <c r="R296" s="3"/>
      <c r="S296" s="3"/>
      <c r="T296" s="3"/>
      <c r="U296" s="3"/>
      <c r="V296" s="3"/>
      <c r="W296" s="3"/>
      <c r="X296" s="3"/>
      <c r="Y296" s="3"/>
      <c r="Z296" s="3"/>
    </row>
    <row r="297" spans="1:26">
      <c r="A297" s="131">
        <v>296</v>
      </c>
      <c r="B297" s="2" t="s">
        <v>1932</v>
      </c>
      <c r="C297" s="164">
        <v>43999</v>
      </c>
      <c r="D297" s="12" t="s">
        <v>1933</v>
      </c>
      <c r="E297" s="49"/>
      <c r="F297" s="3"/>
      <c r="G297" s="3"/>
      <c r="H297" s="3"/>
      <c r="I297" s="3"/>
      <c r="J297" s="3"/>
      <c r="K297" s="3"/>
      <c r="L297" s="3"/>
      <c r="M297" s="3"/>
      <c r="N297" s="3"/>
      <c r="O297" s="3"/>
      <c r="P297" s="3"/>
      <c r="Q297" s="3"/>
      <c r="R297" s="3"/>
      <c r="S297" s="3"/>
      <c r="T297" s="3"/>
      <c r="U297" s="3"/>
      <c r="V297" s="3"/>
      <c r="W297" s="3"/>
      <c r="X297" s="3"/>
      <c r="Y297" s="3"/>
      <c r="Z297" s="3"/>
    </row>
    <row r="298" spans="1:26">
      <c r="A298" s="131">
        <v>297</v>
      </c>
      <c r="B298" s="2" t="s">
        <v>1934</v>
      </c>
      <c r="C298" s="164">
        <v>43999</v>
      </c>
      <c r="D298" s="12" t="s">
        <v>1935</v>
      </c>
      <c r="E298" s="49"/>
      <c r="F298" s="3"/>
      <c r="G298" s="3"/>
      <c r="H298" s="3"/>
      <c r="I298" s="3"/>
      <c r="J298" s="3"/>
      <c r="K298" s="3"/>
      <c r="L298" s="3"/>
      <c r="M298" s="3"/>
      <c r="N298" s="3"/>
      <c r="O298" s="3"/>
      <c r="P298" s="3"/>
      <c r="Q298" s="3"/>
      <c r="R298" s="3"/>
      <c r="S298" s="3"/>
      <c r="T298" s="3"/>
      <c r="U298" s="3"/>
      <c r="V298" s="3"/>
      <c r="W298" s="3"/>
      <c r="X298" s="3"/>
      <c r="Y298" s="3"/>
      <c r="Z298" s="3"/>
    </row>
    <row r="299" spans="1:26">
      <c r="A299" s="131">
        <v>298</v>
      </c>
      <c r="B299" s="2" t="s">
        <v>1936</v>
      </c>
      <c r="C299" s="164">
        <v>44000</v>
      </c>
      <c r="D299" s="12" t="s">
        <v>1937</v>
      </c>
      <c r="E299" s="49"/>
      <c r="F299" s="3"/>
      <c r="G299" s="3"/>
      <c r="H299" s="3"/>
      <c r="I299" s="3"/>
      <c r="J299" s="3"/>
      <c r="K299" s="3"/>
      <c r="L299" s="3"/>
      <c r="M299" s="3"/>
      <c r="N299" s="3"/>
      <c r="O299" s="3"/>
      <c r="P299" s="3"/>
      <c r="Q299" s="3"/>
      <c r="R299" s="3"/>
      <c r="S299" s="3"/>
      <c r="T299" s="3"/>
      <c r="U299" s="3"/>
      <c r="V299" s="3"/>
      <c r="W299" s="3"/>
      <c r="X299" s="3"/>
      <c r="Y299" s="3"/>
      <c r="Z299" s="3"/>
    </row>
    <row r="300" spans="1:26">
      <c r="A300" s="131">
        <v>299</v>
      </c>
      <c r="B300" s="2" t="s">
        <v>1938</v>
      </c>
      <c r="C300" s="164">
        <v>44001</v>
      </c>
      <c r="D300" s="12" t="s">
        <v>1939</v>
      </c>
      <c r="E300" s="49"/>
      <c r="F300" s="3"/>
      <c r="G300" s="3"/>
      <c r="H300" s="3"/>
      <c r="I300" s="3"/>
      <c r="J300" s="3"/>
      <c r="K300" s="3"/>
      <c r="L300" s="3"/>
      <c r="M300" s="3"/>
      <c r="N300" s="3"/>
      <c r="O300" s="3"/>
      <c r="P300" s="3"/>
      <c r="Q300" s="3"/>
      <c r="R300" s="3"/>
      <c r="S300" s="3"/>
      <c r="T300" s="3"/>
      <c r="U300" s="3"/>
      <c r="V300" s="3"/>
      <c r="W300" s="3"/>
      <c r="X300" s="3"/>
      <c r="Y300" s="3"/>
      <c r="Z300" s="3"/>
    </row>
    <row r="301" spans="1:26">
      <c r="A301" s="131">
        <v>300</v>
      </c>
      <c r="B301" s="2" t="s">
        <v>1940</v>
      </c>
      <c r="C301" s="164">
        <v>44004</v>
      </c>
      <c r="D301" s="12" t="s">
        <v>1941</v>
      </c>
      <c r="E301" s="49"/>
      <c r="F301" s="3"/>
      <c r="G301" s="3"/>
      <c r="H301" s="3"/>
      <c r="I301" s="3"/>
      <c r="J301" s="3"/>
      <c r="K301" s="3"/>
      <c r="L301" s="3"/>
      <c r="M301" s="3"/>
      <c r="N301" s="3"/>
      <c r="O301" s="3"/>
      <c r="P301" s="3"/>
      <c r="Q301" s="3"/>
      <c r="R301" s="3"/>
      <c r="S301" s="3"/>
      <c r="T301" s="3"/>
      <c r="U301" s="3"/>
      <c r="V301" s="3"/>
      <c r="W301" s="3"/>
      <c r="X301" s="3"/>
      <c r="Y301" s="3"/>
      <c r="Z301" s="3"/>
    </row>
    <row r="302" spans="1:26">
      <c r="A302" s="131">
        <v>301</v>
      </c>
      <c r="B302" s="2" t="s">
        <v>1942</v>
      </c>
      <c r="C302" s="164">
        <v>44006</v>
      </c>
      <c r="D302" s="12" t="s">
        <v>1943</v>
      </c>
      <c r="E302" s="49"/>
      <c r="F302" s="3"/>
      <c r="G302" s="3"/>
      <c r="H302" s="3"/>
      <c r="I302" s="3"/>
      <c r="J302" s="3"/>
      <c r="K302" s="3"/>
      <c r="L302" s="3"/>
      <c r="M302" s="3"/>
      <c r="N302" s="3"/>
      <c r="O302" s="3"/>
      <c r="P302" s="3"/>
      <c r="Q302" s="3"/>
      <c r="R302" s="3"/>
      <c r="S302" s="3"/>
      <c r="T302" s="3"/>
      <c r="U302" s="3"/>
      <c r="V302" s="3"/>
      <c r="W302" s="3"/>
      <c r="X302" s="3"/>
      <c r="Y302" s="3"/>
      <c r="Z302" s="3"/>
    </row>
    <row r="303" spans="1:26">
      <c r="A303" s="131">
        <v>302</v>
      </c>
      <c r="B303" s="2" t="s">
        <v>1392</v>
      </c>
      <c r="C303" s="164">
        <v>44007</v>
      </c>
      <c r="D303" s="12" t="s">
        <v>1944</v>
      </c>
      <c r="E303" s="49"/>
      <c r="F303" s="3"/>
      <c r="G303" s="3"/>
      <c r="H303" s="3"/>
      <c r="I303" s="3"/>
      <c r="J303" s="3"/>
      <c r="K303" s="3"/>
      <c r="L303" s="3"/>
      <c r="M303" s="3"/>
      <c r="N303" s="3"/>
      <c r="O303" s="3"/>
      <c r="P303" s="3"/>
      <c r="Q303" s="3"/>
      <c r="R303" s="3"/>
      <c r="S303" s="3"/>
      <c r="T303" s="3"/>
      <c r="U303" s="3"/>
      <c r="V303" s="3"/>
      <c r="W303" s="3"/>
      <c r="X303" s="3"/>
      <c r="Y303" s="3"/>
      <c r="Z303" s="3"/>
    </row>
    <row r="304" spans="1:26">
      <c r="A304" s="131">
        <v>303</v>
      </c>
      <c r="B304" s="2" t="s">
        <v>1945</v>
      </c>
      <c r="C304" s="164">
        <v>44011</v>
      </c>
      <c r="D304" s="12" t="s">
        <v>1946</v>
      </c>
      <c r="E304" s="49"/>
      <c r="F304" s="3"/>
      <c r="G304" s="3"/>
      <c r="H304" s="3"/>
      <c r="I304" s="3"/>
      <c r="J304" s="3"/>
      <c r="K304" s="3"/>
      <c r="L304" s="3"/>
      <c r="M304" s="3"/>
      <c r="N304" s="3"/>
      <c r="O304" s="3"/>
      <c r="P304" s="3"/>
      <c r="Q304" s="3"/>
      <c r="R304" s="3"/>
      <c r="S304" s="3"/>
      <c r="T304" s="3"/>
      <c r="U304" s="3"/>
      <c r="V304" s="3"/>
      <c r="W304" s="3"/>
      <c r="X304" s="3"/>
      <c r="Y304" s="3"/>
      <c r="Z304" s="3"/>
    </row>
    <row r="305" spans="1:26">
      <c r="A305" s="131">
        <v>304</v>
      </c>
      <c r="B305" s="2" t="s">
        <v>1947</v>
      </c>
      <c r="C305" s="164">
        <v>44012</v>
      </c>
      <c r="D305" s="12" t="s">
        <v>1948</v>
      </c>
      <c r="E305" s="49"/>
      <c r="F305" s="3"/>
      <c r="G305" s="3"/>
      <c r="H305" s="3"/>
      <c r="I305" s="3"/>
      <c r="J305" s="3"/>
      <c r="K305" s="3"/>
      <c r="L305" s="3"/>
      <c r="M305" s="3"/>
      <c r="N305" s="3"/>
      <c r="O305" s="3"/>
      <c r="P305" s="3"/>
      <c r="Q305" s="3"/>
      <c r="R305" s="3"/>
      <c r="S305" s="3"/>
      <c r="T305" s="3"/>
      <c r="U305" s="3"/>
      <c r="V305" s="3"/>
      <c r="W305" s="3"/>
      <c r="X305" s="3"/>
      <c r="Y305" s="3"/>
      <c r="Z305" s="3"/>
    </row>
    <row r="306" spans="1:26">
      <c r="A306" s="131">
        <v>305</v>
      </c>
      <c r="B306" s="2" t="s">
        <v>1949</v>
      </c>
      <c r="C306" s="164">
        <v>44021</v>
      </c>
      <c r="D306" s="12" t="s">
        <v>1950</v>
      </c>
      <c r="E306" s="49"/>
      <c r="F306" s="3"/>
      <c r="G306" s="3"/>
      <c r="H306" s="3"/>
      <c r="I306" s="3"/>
      <c r="J306" s="3"/>
      <c r="K306" s="3"/>
      <c r="L306" s="3"/>
      <c r="M306" s="3"/>
      <c r="N306" s="3"/>
      <c r="O306" s="3"/>
      <c r="P306" s="3"/>
      <c r="Q306" s="3"/>
      <c r="R306" s="3"/>
      <c r="S306" s="3"/>
      <c r="T306" s="3"/>
      <c r="U306" s="3"/>
      <c r="V306" s="3"/>
      <c r="W306" s="3"/>
      <c r="X306" s="3"/>
      <c r="Y306" s="3"/>
      <c r="Z306" s="3"/>
    </row>
    <row r="307" spans="1:26">
      <c r="A307" s="131">
        <v>306</v>
      </c>
      <c r="B307" s="2" t="s">
        <v>1389</v>
      </c>
      <c r="C307" s="351">
        <v>44026</v>
      </c>
      <c r="D307" s="12" t="s">
        <v>1951</v>
      </c>
      <c r="E307" s="49"/>
      <c r="F307" s="3"/>
      <c r="G307" s="3"/>
      <c r="H307" s="3"/>
      <c r="I307" s="3"/>
      <c r="J307" s="3"/>
      <c r="K307" s="3"/>
      <c r="L307" s="3"/>
      <c r="M307" s="3"/>
      <c r="N307" s="3"/>
      <c r="O307" s="3"/>
      <c r="P307" s="3"/>
      <c r="Q307" s="3"/>
      <c r="R307" s="3"/>
      <c r="S307" s="3"/>
      <c r="T307" s="3"/>
      <c r="U307" s="3"/>
      <c r="V307" s="3"/>
      <c r="W307" s="3"/>
      <c r="X307" s="3"/>
      <c r="Y307" s="3"/>
      <c r="Z307" s="3"/>
    </row>
    <row r="308" spans="1:26">
      <c r="A308" s="131">
        <v>307</v>
      </c>
      <c r="B308" s="12" t="s">
        <v>1952</v>
      </c>
      <c r="C308" s="351">
        <v>44027</v>
      </c>
      <c r="D308" s="12" t="s">
        <v>1953</v>
      </c>
      <c r="E308" s="49"/>
      <c r="F308" s="3"/>
      <c r="G308" s="3"/>
      <c r="H308" s="3"/>
      <c r="I308" s="3"/>
      <c r="J308" s="3"/>
      <c r="K308" s="3"/>
      <c r="L308" s="3"/>
      <c r="M308" s="3"/>
      <c r="N308" s="3"/>
      <c r="O308" s="3"/>
      <c r="P308" s="3"/>
      <c r="Q308" s="3"/>
      <c r="R308" s="3"/>
      <c r="S308" s="3"/>
      <c r="T308" s="3"/>
      <c r="U308" s="3"/>
      <c r="V308" s="3"/>
      <c r="W308" s="3"/>
      <c r="X308" s="3"/>
      <c r="Y308" s="3"/>
      <c r="Z308" s="3"/>
    </row>
    <row r="309" spans="1:26">
      <c r="A309" s="131">
        <v>308</v>
      </c>
      <c r="B309" s="2" t="s">
        <v>1954</v>
      </c>
      <c r="C309" s="351">
        <v>44027</v>
      </c>
      <c r="D309" s="12" t="s">
        <v>1953</v>
      </c>
      <c r="E309" s="49"/>
      <c r="F309" s="3"/>
      <c r="G309" s="3"/>
      <c r="H309" s="3"/>
      <c r="I309" s="3"/>
      <c r="J309" s="3"/>
      <c r="K309" s="3"/>
      <c r="L309" s="3"/>
      <c r="M309" s="3"/>
      <c r="N309" s="3"/>
      <c r="O309" s="3"/>
      <c r="P309" s="3"/>
      <c r="Q309" s="3"/>
      <c r="R309" s="3"/>
      <c r="S309" s="3"/>
      <c r="T309" s="3"/>
      <c r="U309" s="3"/>
      <c r="V309" s="3"/>
      <c r="W309" s="3"/>
      <c r="X309" s="3"/>
      <c r="Y309" s="3"/>
      <c r="Z309" s="3"/>
    </row>
    <row r="310" spans="1:26">
      <c r="A310" s="131">
        <v>309</v>
      </c>
      <c r="B310" s="2" t="s">
        <v>1955</v>
      </c>
      <c r="C310" s="351">
        <v>44027</v>
      </c>
      <c r="D310" s="12" t="s">
        <v>1953</v>
      </c>
      <c r="E310" s="49"/>
      <c r="F310" s="3"/>
      <c r="G310" s="3"/>
      <c r="H310" s="3"/>
      <c r="I310" s="3"/>
      <c r="J310" s="3"/>
      <c r="K310" s="3"/>
      <c r="L310" s="3"/>
      <c r="M310" s="3"/>
      <c r="N310" s="3"/>
      <c r="O310" s="3"/>
      <c r="P310" s="3"/>
      <c r="Q310" s="3"/>
      <c r="R310" s="3"/>
      <c r="S310" s="3"/>
      <c r="T310" s="3"/>
      <c r="U310" s="3"/>
      <c r="V310" s="3"/>
      <c r="W310" s="3"/>
      <c r="X310" s="3"/>
      <c r="Y310" s="3"/>
      <c r="Z310" s="3"/>
    </row>
    <row r="311" spans="1:26">
      <c r="A311" s="131">
        <v>310</v>
      </c>
      <c r="B311" s="2" t="s">
        <v>1956</v>
      </c>
      <c r="C311" s="351">
        <v>44029</v>
      </c>
      <c r="D311" s="12" t="s">
        <v>1957</v>
      </c>
      <c r="E311" s="49"/>
      <c r="F311" s="3"/>
      <c r="G311" s="3"/>
      <c r="H311" s="3"/>
      <c r="I311" s="3"/>
      <c r="J311" s="3"/>
      <c r="K311" s="3"/>
      <c r="L311" s="3"/>
      <c r="M311" s="3"/>
      <c r="N311" s="3"/>
      <c r="O311" s="3"/>
      <c r="P311" s="3"/>
      <c r="Q311" s="3"/>
      <c r="R311" s="3"/>
      <c r="S311" s="3"/>
      <c r="T311" s="3"/>
      <c r="U311" s="3"/>
      <c r="V311" s="3"/>
      <c r="W311" s="3"/>
      <c r="X311" s="3"/>
      <c r="Y311" s="3"/>
      <c r="Z311" s="3"/>
    </row>
    <row r="312" spans="1:26">
      <c r="A312" s="131">
        <v>311</v>
      </c>
      <c r="B312" s="2" t="s">
        <v>1958</v>
      </c>
      <c r="C312" s="351">
        <v>44032</v>
      </c>
      <c r="D312" s="12" t="s">
        <v>1959</v>
      </c>
      <c r="E312" s="49"/>
      <c r="F312" s="3"/>
      <c r="G312" s="3"/>
      <c r="H312" s="3"/>
      <c r="I312" s="3"/>
      <c r="J312" s="3"/>
      <c r="K312" s="3"/>
      <c r="L312" s="3"/>
      <c r="M312" s="3"/>
      <c r="N312" s="3"/>
      <c r="O312" s="3"/>
      <c r="P312" s="3"/>
      <c r="Q312" s="3"/>
      <c r="R312" s="3"/>
      <c r="S312" s="3"/>
      <c r="T312" s="3"/>
      <c r="U312" s="3"/>
      <c r="V312" s="3"/>
      <c r="W312" s="3"/>
      <c r="X312" s="3"/>
      <c r="Y312" s="3"/>
      <c r="Z312" s="3"/>
    </row>
    <row r="313" spans="1:26">
      <c r="A313" s="131">
        <v>312</v>
      </c>
      <c r="B313" s="2" t="s">
        <v>1960</v>
      </c>
      <c r="C313" s="351">
        <v>44032</v>
      </c>
      <c r="D313" s="12" t="s">
        <v>4908</v>
      </c>
      <c r="E313" s="49"/>
      <c r="F313" s="3"/>
      <c r="G313" s="3"/>
      <c r="H313" s="3"/>
      <c r="I313" s="3"/>
      <c r="J313" s="3"/>
      <c r="K313" s="3"/>
      <c r="L313" s="3"/>
      <c r="M313" s="3"/>
      <c r="N313" s="3"/>
      <c r="O313" s="3"/>
      <c r="P313" s="3"/>
      <c r="Q313" s="3"/>
      <c r="R313" s="3"/>
      <c r="S313" s="3"/>
      <c r="T313" s="3"/>
      <c r="U313" s="3"/>
      <c r="V313" s="3"/>
      <c r="W313" s="3"/>
      <c r="X313" s="3"/>
      <c r="Y313" s="3"/>
      <c r="Z313" s="3"/>
    </row>
    <row r="314" spans="1:26">
      <c r="A314" s="131">
        <v>313</v>
      </c>
      <c r="B314" s="2" t="s">
        <v>1961</v>
      </c>
      <c r="C314" s="164">
        <v>44032</v>
      </c>
      <c r="D314" s="113" t="s">
        <v>1962</v>
      </c>
      <c r="E314" s="45"/>
      <c r="F314" s="3"/>
      <c r="G314" s="3"/>
      <c r="H314" s="3"/>
      <c r="I314" s="3"/>
      <c r="J314" s="3"/>
      <c r="K314" s="3"/>
      <c r="L314" s="3"/>
      <c r="M314" s="3"/>
      <c r="N314" s="3"/>
      <c r="O314" s="3"/>
      <c r="P314" s="3"/>
      <c r="Q314" s="3"/>
      <c r="R314" s="3"/>
      <c r="S314" s="3"/>
      <c r="T314" s="3"/>
      <c r="U314" s="3"/>
      <c r="V314" s="3"/>
      <c r="W314" s="3"/>
      <c r="X314" s="3"/>
      <c r="Y314" s="3"/>
      <c r="Z314" s="3"/>
    </row>
    <row r="315" spans="1:26">
      <c r="A315" s="131">
        <v>314</v>
      </c>
      <c r="B315" s="2" t="s">
        <v>1963</v>
      </c>
      <c r="C315" s="164">
        <v>44034</v>
      </c>
      <c r="D315" s="113" t="s">
        <v>1964</v>
      </c>
      <c r="E315" s="45"/>
      <c r="F315" s="3"/>
      <c r="G315" s="3"/>
      <c r="H315" s="3"/>
      <c r="I315" s="3"/>
      <c r="J315" s="3"/>
      <c r="K315" s="3"/>
      <c r="L315" s="3"/>
      <c r="M315" s="3"/>
      <c r="N315" s="3"/>
      <c r="O315" s="3"/>
      <c r="P315" s="3"/>
      <c r="Q315" s="3"/>
      <c r="R315" s="3"/>
      <c r="S315" s="3"/>
      <c r="T315" s="3"/>
      <c r="U315" s="3"/>
      <c r="V315" s="3"/>
      <c r="W315" s="3"/>
      <c r="X315" s="3"/>
      <c r="Y315" s="3"/>
      <c r="Z315" s="3"/>
    </row>
    <row r="316" spans="1:26">
      <c r="A316" s="131">
        <v>315</v>
      </c>
      <c r="B316" s="24" t="s">
        <v>1965</v>
      </c>
      <c r="C316" s="352">
        <v>44035</v>
      </c>
      <c r="D316" s="353" t="s">
        <v>1964</v>
      </c>
      <c r="E316" s="54"/>
      <c r="F316" s="3"/>
      <c r="G316" s="3"/>
      <c r="H316" s="3"/>
      <c r="I316" s="3"/>
      <c r="J316" s="3"/>
      <c r="K316" s="3"/>
      <c r="L316" s="3"/>
      <c r="M316" s="3"/>
      <c r="N316" s="3"/>
      <c r="O316" s="3"/>
      <c r="P316" s="3"/>
      <c r="Q316" s="3"/>
      <c r="R316" s="3"/>
      <c r="S316" s="3"/>
      <c r="T316" s="3"/>
      <c r="U316" s="3"/>
      <c r="V316" s="3"/>
      <c r="W316" s="3"/>
      <c r="X316" s="3"/>
      <c r="Y316" s="3"/>
      <c r="Z316" s="3"/>
    </row>
    <row r="317" spans="1:26">
      <c r="A317" s="131">
        <v>316</v>
      </c>
      <c r="B317" s="2" t="s">
        <v>1386</v>
      </c>
      <c r="C317" s="164">
        <v>44056</v>
      </c>
      <c r="D317" s="172" t="s">
        <v>1388</v>
      </c>
      <c r="E317" s="55"/>
      <c r="F317" s="112"/>
      <c r="G317" s="3"/>
      <c r="H317" s="3"/>
      <c r="I317" s="3"/>
      <c r="J317" s="3"/>
      <c r="K317" s="3"/>
      <c r="L317" s="3"/>
      <c r="M317" s="3"/>
      <c r="N317" s="3"/>
      <c r="O317" s="3"/>
      <c r="P317" s="3"/>
      <c r="Q317" s="3"/>
      <c r="R317" s="3"/>
      <c r="S317" s="3"/>
      <c r="T317" s="3"/>
      <c r="U317" s="3"/>
      <c r="V317" s="3"/>
      <c r="W317" s="3"/>
      <c r="X317" s="3"/>
      <c r="Y317" s="3"/>
      <c r="Z317" s="3"/>
    </row>
    <row r="318" spans="1:26">
      <c r="A318" s="131">
        <v>317</v>
      </c>
      <c r="B318" s="111" t="s">
        <v>1966</v>
      </c>
      <c r="C318" s="164">
        <v>44064</v>
      </c>
      <c r="D318" s="166" t="s">
        <v>1967</v>
      </c>
      <c r="E318" s="56"/>
      <c r="F318" s="112"/>
      <c r="G318" s="3"/>
      <c r="H318" s="3"/>
      <c r="I318" s="3"/>
      <c r="J318" s="3"/>
      <c r="K318" s="3"/>
      <c r="L318" s="3"/>
      <c r="M318" s="3"/>
      <c r="N318" s="3"/>
      <c r="O318" s="3"/>
      <c r="P318" s="3"/>
      <c r="Q318" s="3"/>
      <c r="R318" s="3"/>
      <c r="S318" s="3"/>
      <c r="T318" s="3"/>
      <c r="U318" s="3"/>
      <c r="V318" s="3"/>
      <c r="W318" s="3"/>
      <c r="X318" s="3"/>
      <c r="Y318" s="3"/>
      <c r="Z318" s="3"/>
    </row>
    <row r="319" spans="1:26">
      <c r="A319" s="131">
        <v>318</v>
      </c>
      <c r="B319" s="2" t="s">
        <v>1968</v>
      </c>
      <c r="C319" s="164">
        <v>44070</v>
      </c>
      <c r="D319" s="172" t="s">
        <v>1969</v>
      </c>
      <c r="E319" s="55"/>
      <c r="F319" s="112"/>
      <c r="G319" s="3"/>
      <c r="H319" s="3"/>
      <c r="I319" s="3"/>
      <c r="J319" s="3"/>
      <c r="K319" s="3"/>
      <c r="L319" s="3"/>
      <c r="M319" s="3"/>
      <c r="N319" s="3"/>
      <c r="O319" s="3"/>
      <c r="P319" s="3"/>
      <c r="Q319" s="3"/>
      <c r="R319" s="3"/>
      <c r="S319" s="3"/>
      <c r="T319" s="3"/>
      <c r="U319" s="3"/>
      <c r="V319" s="3"/>
      <c r="W319" s="3"/>
      <c r="X319" s="3"/>
      <c r="Y319" s="3"/>
      <c r="Z319" s="3"/>
    </row>
    <row r="320" spans="1:26">
      <c r="A320" s="131">
        <v>319</v>
      </c>
      <c r="B320" s="2" t="s">
        <v>1970</v>
      </c>
      <c r="C320" s="164">
        <v>44078</v>
      </c>
      <c r="D320" s="172" t="s">
        <v>1971</v>
      </c>
      <c r="E320" s="55"/>
      <c r="F320" s="112"/>
      <c r="G320" s="3"/>
      <c r="H320" s="3"/>
      <c r="I320" s="3"/>
      <c r="J320" s="3"/>
      <c r="K320" s="3"/>
      <c r="L320" s="3"/>
      <c r="M320" s="3"/>
      <c r="N320" s="3"/>
      <c r="O320" s="3"/>
      <c r="P320" s="3"/>
      <c r="Q320" s="3"/>
      <c r="R320" s="3"/>
      <c r="S320" s="3"/>
      <c r="T320" s="3"/>
      <c r="U320" s="3"/>
      <c r="V320" s="3"/>
      <c r="W320" s="3"/>
      <c r="X320" s="3"/>
      <c r="Y320" s="3"/>
      <c r="Z320" s="3"/>
    </row>
    <row r="321" spans="1:26">
      <c r="A321" s="131">
        <v>320</v>
      </c>
      <c r="B321" s="24" t="s">
        <v>1972</v>
      </c>
      <c r="C321" s="164">
        <v>44078</v>
      </c>
      <c r="D321" s="354" t="s">
        <v>1973</v>
      </c>
      <c r="E321" s="57"/>
      <c r="F321" s="163"/>
      <c r="G321" s="162"/>
      <c r="H321" s="3"/>
      <c r="I321" s="3"/>
      <c r="J321" s="3"/>
      <c r="K321" s="3"/>
      <c r="L321" s="3"/>
      <c r="M321" s="3"/>
      <c r="N321" s="3"/>
      <c r="O321" s="3"/>
      <c r="P321" s="3"/>
      <c r="Q321" s="3"/>
      <c r="R321" s="3"/>
      <c r="S321" s="3"/>
      <c r="T321" s="3"/>
      <c r="U321" s="3"/>
      <c r="V321" s="3"/>
      <c r="W321" s="3"/>
      <c r="X321" s="3"/>
      <c r="Y321" s="3"/>
      <c r="Z321" s="3"/>
    </row>
    <row r="322" spans="1:26">
      <c r="A322" s="196">
        <v>321</v>
      </c>
      <c r="B322" s="143" t="s">
        <v>1974</v>
      </c>
      <c r="C322" s="355">
        <v>44081</v>
      </c>
      <c r="D322" s="165" t="s">
        <v>1975</v>
      </c>
      <c r="E322" s="58"/>
      <c r="F322" s="3"/>
      <c r="G322" s="3"/>
      <c r="H322" s="112"/>
      <c r="I322" s="3"/>
      <c r="J322" s="3"/>
      <c r="K322" s="3"/>
      <c r="L322" s="3"/>
      <c r="M322" s="3"/>
      <c r="N322" s="3"/>
      <c r="O322" s="3"/>
      <c r="P322" s="3"/>
      <c r="Q322" s="3"/>
      <c r="R322" s="3"/>
      <c r="S322" s="3"/>
      <c r="T322" s="3"/>
      <c r="U322" s="3"/>
      <c r="V322" s="3"/>
      <c r="W322" s="3"/>
      <c r="X322" s="3"/>
      <c r="Y322" s="3"/>
      <c r="Z322" s="3"/>
    </row>
    <row r="323" spans="1:26">
      <c r="A323" s="196">
        <v>322</v>
      </c>
      <c r="B323" s="143" t="s">
        <v>1976</v>
      </c>
      <c r="C323" s="355">
        <v>44105</v>
      </c>
      <c r="D323" s="165" t="s">
        <v>1977</v>
      </c>
      <c r="E323" s="58"/>
      <c r="F323" s="113"/>
      <c r="G323" s="113"/>
      <c r="H323" s="130"/>
      <c r="I323" s="113"/>
      <c r="J323" s="113"/>
      <c r="K323" s="113"/>
      <c r="L323" s="113"/>
      <c r="M323" s="113"/>
      <c r="N323" s="113"/>
      <c r="O323" s="113"/>
      <c r="P323" s="113"/>
      <c r="Q323" s="113"/>
      <c r="R323" s="113"/>
      <c r="S323" s="113"/>
      <c r="T323" s="113"/>
      <c r="U323" s="113"/>
      <c r="V323" s="113"/>
      <c r="W323" s="113"/>
      <c r="X323" s="113"/>
      <c r="Y323" s="113"/>
      <c r="Z323" s="113"/>
    </row>
    <row r="324" spans="1:26">
      <c r="A324" s="196">
        <v>323</v>
      </c>
      <c r="B324" s="143" t="s">
        <v>1978</v>
      </c>
      <c r="C324" s="355">
        <v>44109</v>
      </c>
      <c r="D324" s="165" t="s">
        <v>1979</v>
      </c>
      <c r="E324" s="58"/>
      <c r="F324" s="113"/>
      <c r="G324" s="113"/>
      <c r="H324" s="130"/>
      <c r="I324" s="113"/>
      <c r="J324" s="113"/>
      <c r="K324" s="113"/>
      <c r="L324" s="113"/>
      <c r="M324" s="113"/>
      <c r="N324" s="113"/>
      <c r="O324" s="113"/>
      <c r="P324" s="113"/>
      <c r="Q324" s="113"/>
      <c r="R324" s="113"/>
      <c r="S324" s="113"/>
      <c r="T324" s="113"/>
      <c r="U324" s="113"/>
      <c r="V324" s="113"/>
      <c r="W324" s="113"/>
      <c r="X324" s="113"/>
      <c r="Y324" s="113"/>
      <c r="Z324" s="113"/>
    </row>
    <row r="325" spans="1:26">
      <c r="A325" s="131">
        <v>324</v>
      </c>
      <c r="B325" s="111" t="s">
        <v>1980</v>
      </c>
      <c r="C325" s="356">
        <v>44111</v>
      </c>
      <c r="D325" s="165" t="s">
        <v>1981</v>
      </c>
      <c r="E325" s="58"/>
      <c r="F325" s="113"/>
      <c r="G325" s="113"/>
      <c r="H325" s="130"/>
      <c r="I325" s="113"/>
      <c r="J325" s="113"/>
      <c r="K325" s="113"/>
      <c r="L325" s="113"/>
      <c r="M325" s="113"/>
      <c r="N325" s="113"/>
      <c r="O325" s="113"/>
      <c r="P325" s="113"/>
      <c r="Q325" s="113"/>
      <c r="R325" s="113"/>
      <c r="S325" s="113"/>
      <c r="T325" s="113"/>
      <c r="U325" s="113"/>
      <c r="V325" s="113"/>
      <c r="W325" s="113"/>
      <c r="X325" s="113"/>
      <c r="Y325" s="113"/>
      <c r="Z325" s="113"/>
    </row>
    <row r="326" spans="1:26">
      <c r="A326" s="131">
        <v>325</v>
      </c>
      <c r="B326" s="2" t="s">
        <v>1982</v>
      </c>
      <c r="C326" s="164">
        <v>44124</v>
      </c>
      <c r="D326" s="165" t="s">
        <v>1983</v>
      </c>
      <c r="E326" s="58"/>
      <c r="F326" s="84"/>
      <c r="G326" s="84"/>
      <c r="H326" s="3"/>
      <c r="I326" s="3"/>
      <c r="J326" s="3"/>
      <c r="K326" s="3"/>
      <c r="L326" s="3"/>
      <c r="M326" s="3"/>
      <c r="N326" s="3"/>
      <c r="O326" s="3"/>
      <c r="P326" s="3"/>
      <c r="Q326" s="3"/>
      <c r="R326" s="3"/>
      <c r="S326" s="3"/>
      <c r="T326" s="3"/>
      <c r="U326" s="3"/>
      <c r="V326" s="3"/>
      <c r="W326" s="3"/>
      <c r="X326" s="3"/>
      <c r="Y326" s="3"/>
      <c r="Z326" s="3"/>
    </row>
    <row r="327" spans="1:26">
      <c r="A327" s="131">
        <v>326</v>
      </c>
      <c r="B327" s="2" t="s">
        <v>1381</v>
      </c>
      <c r="C327" s="164">
        <v>44128</v>
      </c>
      <c r="D327" s="165" t="s">
        <v>1984</v>
      </c>
      <c r="E327" s="58"/>
      <c r="F327" s="3"/>
      <c r="G327" s="3"/>
      <c r="H327" s="3"/>
      <c r="I327" s="3"/>
      <c r="J327" s="3"/>
      <c r="K327" s="3"/>
      <c r="L327" s="3"/>
      <c r="M327" s="3"/>
      <c r="N327" s="3"/>
      <c r="O327" s="3"/>
      <c r="P327" s="3"/>
      <c r="Q327" s="3"/>
      <c r="R327" s="3"/>
      <c r="S327" s="3"/>
      <c r="T327" s="3"/>
      <c r="U327" s="3"/>
      <c r="V327" s="3"/>
      <c r="W327" s="3"/>
      <c r="X327" s="3"/>
      <c r="Y327" s="3"/>
      <c r="Z327" s="3"/>
    </row>
    <row r="328" spans="1:26">
      <c r="A328" s="131">
        <v>327</v>
      </c>
      <c r="B328" s="2" t="s">
        <v>1378</v>
      </c>
      <c r="C328" s="164">
        <v>44139</v>
      </c>
      <c r="D328" s="165" t="s">
        <v>1985</v>
      </c>
      <c r="E328" s="58"/>
      <c r="F328" s="3"/>
      <c r="G328" s="3"/>
      <c r="H328" s="3"/>
      <c r="I328" s="3"/>
      <c r="J328" s="3"/>
      <c r="K328" s="3"/>
      <c r="L328" s="3"/>
      <c r="M328" s="3"/>
      <c r="N328" s="3"/>
      <c r="O328" s="3"/>
      <c r="P328" s="3"/>
      <c r="Q328" s="3"/>
      <c r="R328" s="3"/>
      <c r="S328" s="3"/>
      <c r="T328" s="3"/>
      <c r="U328" s="3"/>
      <c r="V328" s="3"/>
      <c r="W328" s="3"/>
      <c r="X328" s="3"/>
      <c r="Y328" s="3"/>
      <c r="Z328" s="3"/>
    </row>
    <row r="329" spans="1:26">
      <c r="A329" s="131">
        <v>328</v>
      </c>
      <c r="B329" s="2" t="s">
        <v>1986</v>
      </c>
      <c r="C329" s="164">
        <v>44141</v>
      </c>
      <c r="D329" s="165" t="s">
        <v>1987</v>
      </c>
      <c r="E329" s="58"/>
      <c r="F329" s="59"/>
      <c r="G329" s="59"/>
      <c r="H329" s="59"/>
      <c r="I329" s="59"/>
      <c r="J329" s="59"/>
      <c r="K329" s="59"/>
      <c r="L329" s="59"/>
      <c r="M329" s="59"/>
      <c r="N329" s="59"/>
      <c r="O329" s="59"/>
      <c r="P329" s="59"/>
      <c r="Q329" s="59"/>
      <c r="R329" s="59"/>
      <c r="S329" s="59"/>
      <c r="T329" s="59"/>
      <c r="U329" s="59"/>
      <c r="V329" s="59"/>
      <c r="W329" s="59"/>
      <c r="X329" s="59"/>
      <c r="Y329" s="59"/>
      <c r="Z329" s="59"/>
    </row>
    <row r="330" spans="1:26">
      <c r="A330" s="131">
        <v>329</v>
      </c>
      <c r="B330" s="2" t="s">
        <v>1988</v>
      </c>
      <c r="C330" s="164">
        <v>44144</v>
      </c>
      <c r="D330" s="165" t="s">
        <v>1989</v>
      </c>
      <c r="E330" s="58"/>
      <c r="F330" s="59"/>
      <c r="G330" s="59"/>
      <c r="H330" s="59"/>
      <c r="I330" s="59"/>
      <c r="J330" s="59"/>
      <c r="K330" s="59"/>
      <c r="L330" s="59"/>
      <c r="M330" s="59"/>
      <c r="N330" s="59"/>
      <c r="O330" s="59"/>
      <c r="P330" s="59"/>
      <c r="Q330" s="59"/>
      <c r="R330" s="59"/>
      <c r="S330" s="59"/>
      <c r="T330" s="59"/>
      <c r="U330" s="59"/>
      <c r="V330" s="59"/>
      <c r="W330" s="59"/>
      <c r="X330" s="59"/>
      <c r="Y330" s="59"/>
      <c r="Z330" s="59"/>
    </row>
    <row r="331" spans="1:26">
      <c r="A331" s="131">
        <v>330</v>
      </c>
      <c r="B331" s="2" t="s">
        <v>1990</v>
      </c>
      <c r="C331" s="164">
        <v>44148</v>
      </c>
      <c r="D331" s="165" t="s">
        <v>1991</v>
      </c>
      <c r="E331" s="58"/>
      <c r="F331" s="59"/>
      <c r="G331" s="59"/>
      <c r="H331" s="59"/>
      <c r="I331" s="59"/>
      <c r="J331" s="59"/>
      <c r="K331" s="59"/>
      <c r="L331" s="59"/>
      <c r="M331" s="59"/>
      <c r="N331" s="59"/>
      <c r="O331" s="59"/>
      <c r="P331" s="59"/>
      <c r="Q331" s="59"/>
      <c r="R331" s="59"/>
      <c r="S331" s="59"/>
      <c r="T331" s="59"/>
      <c r="U331" s="59"/>
      <c r="V331" s="59"/>
      <c r="W331" s="59"/>
      <c r="X331" s="59"/>
      <c r="Y331" s="59"/>
      <c r="Z331" s="59"/>
    </row>
    <row r="332" spans="1:26">
      <c r="A332" s="131">
        <v>331</v>
      </c>
      <c r="B332" s="2" t="s">
        <v>1992</v>
      </c>
      <c r="C332" s="164">
        <v>44148</v>
      </c>
      <c r="D332" s="165" t="s">
        <v>1991</v>
      </c>
      <c r="E332" s="58"/>
      <c r="F332" s="60"/>
      <c r="G332" s="60"/>
      <c r="H332" s="60"/>
      <c r="I332" s="60"/>
      <c r="J332" s="60"/>
      <c r="K332" s="60"/>
      <c r="L332" s="60"/>
      <c r="M332" s="60"/>
      <c r="N332" s="60"/>
      <c r="O332" s="60"/>
      <c r="P332" s="60"/>
      <c r="Q332" s="60"/>
      <c r="R332" s="60"/>
      <c r="S332" s="60"/>
      <c r="T332" s="60"/>
      <c r="U332" s="60"/>
      <c r="V332" s="60"/>
      <c r="W332" s="60"/>
      <c r="X332" s="60"/>
      <c r="Y332" s="60"/>
      <c r="Z332" s="60"/>
    </row>
    <row r="333" spans="1:26">
      <c r="A333" s="131">
        <v>332</v>
      </c>
      <c r="B333" s="24" t="s">
        <v>1993</v>
      </c>
      <c r="C333" s="164">
        <v>44148</v>
      </c>
      <c r="D333" s="165" t="s">
        <v>1994</v>
      </c>
      <c r="E333" s="58"/>
      <c r="F333" s="3"/>
      <c r="G333" s="3"/>
      <c r="H333" s="3"/>
      <c r="I333" s="3"/>
      <c r="J333" s="3"/>
      <c r="K333" s="3"/>
      <c r="L333" s="3"/>
      <c r="M333" s="3"/>
      <c r="N333" s="3"/>
      <c r="O333" s="3"/>
      <c r="P333" s="3"/>
      <c r="Q333" s="3"/>
      <c r="R333" s="3"/>
      <c r="S333" s="3"/>
      <c r="T333" s="3"/>
      <c r="U333" s="3"/>
      <c r="V333" s="3"/>
      <c r="W333" s="3"/>
      <c r="X333" s="3"/>
      <c r="Y333" s="3"/>
      <c r="Z333" s="3"/>
    </row>
    <row r="334" spans="1:26">
      <c r="A334" s="196">
        <v>333</v>
      </c>
      <c r="B334" s="143" t="s">
        <v>1995</v>
      </c>
      <c r="C334" s="357">
        <v>44155</v>
      </c>
      <c r="D334" s="350" t="s">
        <v>1996</v>
      </c>
      <c r="E334" s="50"/>
      <c r="F334" s="3"/>
      <c r="G334" s="3"/>
      <c r="H334" s="3"/>
      <c r="I334" s="3"/>
      <c r="J334" s="3"/>
      <c r="K334" s="3"/>
      <c r="L334" s="3"/>
      <c r="M334" s="3"/>
      <c r="N334" s="3"/>
      <c r="O334" s="3"/>
      <c r="P334" s="3"/>
      <c r="Q334" s="3"/>
      <c r="R334" s="3"/>
      <c r="S334" s="3"/>
      <c r="T334" s="3"/>
      <c r="U334" s="3"/>
      <c r="V334" s="3"/>
      <c r="W334" s="3"/>
      <c r="X334" s="3"/>
      <c r="Y334" s="3"/>
      <c r="Z334" s="3"/>
    </row>
    <row r="335" spans="1:26">
      <c r="A335" s="196">
        <v>334</v>
      </c>
      <c r="B335" s="143" t="s">
        <v>1997</v>
      </c>
      <c r="C335" s="357">
        <v>44155</v>
      </c>
      <c r="D335" s="165" t="s">
        <v>1998</v>
      </c>
      <c r="E335" s="58"/>
      <c r="F335" s="3"/>
      <c r="G335" s="3"/>
      <c r="H335" s="3"/>
      <c r="I335" s="3"/>
      <c r="J335" s="3"/>
      <c r="K335" s="3"/>
      <c r="L335" s="3"/>
      <c r="M335" s="3"/>
      <c r="N335" s="3"/>
      <c r="O335" s="3"/>
      <c r="P335" s="3"/>
      <c r="Q335" s="3"/>
      <c r="R335" s="3"/>
      <c r="S335" s="3"/>
      <c r="T335" s="3"/>
      <c r="U335" s="3"/>
      <c r="V335" s="3"/>
      <c r="W335" s="3"/>
      <c r="X335" s="3"/>
      <c r="Y335" s="3"/>
      <c r="Z335" s="3"/>
    </row>
    <row r="336" spans="1:26">
      <c r="A336" s="196">
        <v>335</v>
      </c>
      <c r="B336" s="143" t="s">
        <v>1999</v>
      </c>
      <c r="C336" s="357">
        <v>44166</v>
      </c>
      <c r="D336" s="165" t="s">
        <v>2000</v>
      </c>
      <c r="E336" s="58"/>
      <c r="F336" s="3"/>
      <c r="G336" s="3"/>
      <c r="H336" s="3"/>
      <c r="I336" s="3"/>
      <c r="J336" s="3"/>
      <c r="K336" s="3"/>
      <c r="L336" s="3"/>
      <c r="M336" s="3"/>
      <c r="N336" s="3"/>
      <c r="O336" s="3"/>
      <c r="P336" s="3"/>
      <c r="Q336" s="3"/>
      <c r="R336" s="3"/>
      <c r="S336" s="3"/>
      <c r="T336" s="3"/>
      <c r="U336" s="3"/>
      <c r="V336" s="3"/>
      <c r="W336" s="3"/>
      <c r="X336" s="3"/>
      <c r="Y336" s="3"/>
      <c r="Z336" s="3"/>
    </row>
    <row r="337" spans="1:26" s="110" customFormat="1">
      <c r="A337" s="196">
        <v>336</v>
      </c>
      <c r="B337" s="143" t="s">
        <v>2001</v>
      </c>
      <c r="C337" s="357">
        <v>44167</v>
      </c>
      <c r="D337" s="165" t="s">
        <v>2002</v>
      </c>
      <c r="E337" s="58"/>
      <c r="F337" s="3"/>
      <c r="G337" s="3"/>
      <c r="H337" s="3"/>
      <c r="I337" s="3"/>
      <c r="J337" s="3"/>
      <c r="K337" s="3"/>
      <c r="L337" s="3"/>
      <c r="M337" s="3"/>
      <c r="N337" s="3"/>
      <c r="O337" s="3"/>
      <c r="P337" s="3"/>
      <c r="Q337" s="3"/>
      <c r="R337" s="3"/>
      <c r="S337" s="3"/>
      <c r="T337" s="3"/>
      <c r="U337" s="3"/>
      <c r="V337" s="3"/>
      <c r="W337" s="3"/>
      <c r="X337" s="3"/>
      <c r="Y337" s="3"/>
      <c r="Z337" s="3"/>
    </row>
    <row r="338" spans="1:26" s="110" customFormat="1">
      <c r="A338" s="196">
        <v>337</v>
      </c>
      <c r="B338" s="143" t="s">
        <v>2003</v>
      </c>
      <c r="C338" s="357">
        <v>44168</v>
      </c>
      <c r="D338" s="165" t="s">
        <v>2002</v>
      </c>
      <c r="E338" s="58"/>
      <c r="F338" s="3"/>
      <c r="G338" s="3"/>
      <c r="H338" s="3"/>
      <c r="I338" s="3"/>
      <c r="J338" s="3"/>
      <c r="K338" s="3"/>
      <c r="L338" s="3"/>
      <c r="M338" s="3"/>
      <c r="N338" s="3"/>
      <c r="O338" s="3"/>
      <c r="P338" s="3"/>
      <c r="Q338" s="3"/>
      <c r="R338" s="3"/>
      <c r="S338" s="3"/>
      <c r="T338" s="3"/>
      <c r="U338" s="3"/>
      <c r="V338" s="3"/>
      <c r="W338" s="3"/>
      <c r="X338" s="3"/>
      <c r="Y338" s="3"/>
      <c r="Z338" s="3"/>
    </row>
    <row r="339" spans="1:26" s="110" customFormat="1">
      <c r="A339" s="196">
        <v>338</v>
      </c>
      <c r="B339" s="143" t="s">
        <v>1374</v>
      </c>
      <c r="C339" s="357">
        <v>44173</v>
      </c>
      <c r="D339" s="165" t="s">
        <v>2004</v>
      </c>
      <c r="E339" s="58"/>
      <c r="F339" s="3"/>
      <c r="G339" s="3"/>
      <c r="H339" s="3"/>
      <c r="I339" s="3"/>
      <c r="J339" s="3"/>
      <c r="K339" s="3"/>
      <c r="L339" s="3"/>
      <c r="M339" s="3"/>
      <c r="N339" s="3"/>
      <c r="O339" s="3"/>
      <c r="P339" s="3"/>
      <c r="Q339" s="3"/>
      <c r="R339" s="3"/>
      <c r="S339" s="3"/>
      <c r="T339" s="3"/>
      <c r="U339" s="3"/>
      <c r="V339" s="3"/>
      <c r="W339" s="3"/>
      <c r="X339" s="3"/>
      <c r="Y339" s="3"/>
      <c r="Z339" s="3"/>
    </row>
    <row r="340" spans="1:26" s="110" customFormat="1">
      <c r="A340" s="196">
        <v>339</v>
      </c>
      <c r="B340" s="143" t="s">
        <v>1372</v>
      </c>
      <c r="C340" s="357">
        <v>44173</v>
      </c>
      <c r="D340" s="165" t="s">
        <v>2005</v>
      </c>
      <c r="E340" s="58"/>
      <c r="F340" s="3"/>
      <c r="G340" s="3"/>
      <c r="H340" s="3"/>
      <c r="I340" s="3"/>
      <c r="J340" s="3"/>
      <c r="K340" s="3"/>
      <c r="L340" s="3"/>
      <c r="M340" s="3"/>
      <c r="N340" s="3"/>
      <c r="O340" s="3"/>
      <c r="P340" s="3"/>
      <c r="Q340" s="3"/>
      <c r="R340" s="3"/>
      <c r="S340" s="3"/>
      <c r="T340" s="3"/>
      <c r="U340" s="3"/>
      <c r="V340" s="3"/>
      <c r="W340" s="3"/>
      <c r="X340" s="3"/>
      <c r="Y340" s="3"/>
      <c r="Z340" s="3"/>
    </row>
    <row r="341" spans="1:26" s="110" customFormat="1">
      <c r="A341" s="196">
        <v>340</v>
      </c>
      <c r="B341" s="143" t="s">
        <v>2006</v>
      </c>
      <c r="C341" s="357">
        <v>44174</v>
      </c>
      <c r="D341" s="165" t="s">
        <v>2007</v>
      </c>
      <c r="E341" s="58"/>
      <c r="F341" s="3"/>
      <c r="G341" s="3"/>
      <c r="H341" s="3"/>
      <c r="I341" s="3"/>
      <c r="J341" s="3"/>
      <c r="K341" s="3"/>
      <c r="L341" s="3"/>
      <c r="M341" s="3"/>
      <c r="N341" s="3"/>
      <c r="O341" s="3"/>
      <c r="P341" s="3"/>
      <c r="Q341" s="3"/>
      <c r="R341" s="3"/>
      <c r="S341" s="3"/>
      <c r="T341" s="3"/>
      <c r="U341" s="3"/>
      <c r="V341" s="3"/>
      <c r="W341" s="3"/>
      <c r="X341" s="3"/>
      <c r="Y341" s="3"/>
      <c r="Z341" s="3"/>
    </row>
    <row r="342" spans="1:26" s="110" customFormat="1" ht="28.8">
      <c r="A342" s="196">
        <v>341</v>
      </c>
      <c r="B342" s="143" t="s">
        <v>1370</v>
      </c>
      <c r="C342" s="358">
        <v>44182</v>
      </c>
      <c r="D342" s="359" t="s">
        <v>2008</v>
      </c>
      <c r="E342" s="61"/>
      <c r="F342" s="3"/>
      <c r="G342" s="3"/>
      <c r="H342" s="3"/>
      <c r="I342" s="3"/>
      <c r="J342" s="3"/>
      <c r="K342" s="3"/>
      <c r="L342" s="3"/>
      <c r="M342" s="3"/>
      <c r="N342" s="3"/>
      <c r="O342" s="3"/>
      <c r="P342" s="3"/>
      <c r="Q342" s="3"/>
      <c r="R342" s="3"/>
      <c r="S342" s="3"/>
      <c r="T342" s="3"/>
      <c r="U342" s="3"/>
      <c r="V342" s="3"/>
      <c r="W342" s="3"/>
      <c r="X342" s="3"/>
      <c r="Y342" s="3"/>
      <c r="Z342" s="3"/>
    </row>
    <row r="343" spans="1:26" s="110" customFormat="1">
      <c r="A343" s="131">
        <v>342</v>
      </c>
      <c r="B343" s="197" t="s">
        <v>2009</v>
      </c>
      <c r="C343" s="75">
        <v>44186</v>
      </c>
      <c r="D343" s="359" t="s">
        <v>2010</v>
      </c>
      <c r="E343" s="61"/>
      <c r="F343" s="3"/>
      <c r="G343" s="3"/>
      <c r="H343" s="3"/>
      <c r="I343" s="3"/>
      <c r="J343" s="3"/>
      <c r="K343" s="3"/>
      <c r="L343" s="3"/>
      <c r="M343" s="3"/>
      <c r="N343" s="3"/>
      <c r="O343" s="3"/>
      <c r="P343" s="3"/>
      <c r="Q343" s="3"/>
      <c r="R343" s="3"/>
      <c r="S343" s="3"/>
      <c r="T343" s="3"/>
      <c r="U343" s="3"/>
      <c r="V343" s="3"/>
      <c r="W343" s="3"/>
      <c r="X343" s="3"/>
      <c r="Y343" s="3"/>
      <c r="Z343" s="3"/>
    </row>
    <row r="344" spans="1:26" s="110" customFormat="1">
      <c r="A344" s="131">
        <v>343</v>
      </c>
      <c r="B344" s="2" t="s">
        <v>2011</v>
      </c>
      <c r="C344" s="75">
        <v>44186</v>
      </c>
      <c r="D344" s="172" t="s">
        <v>21</v>
      </c>
      <c r="E344" s="55"/>
      <c r="F344" s="3"/>
      <c r="G344" s="3"/>
      <c r="H344" s="3"/>
      <c r="I344" s="3"/>
      <c r="J344" s="3"/>
      <c r="K344" s="3"/>
      <c r="L344" s="3"/>
      <c r="M344" s="3"/>
      <c r="N344" s="3"/>
      <c r="O344" s="3"/>
      <c r="P344" s="3"/>
      <c r="Q344" s="3"/>
      <c r="R344" s="3"/>
      <c r="S344" s="3"/>
      <c r="T344" s="3"/>
      <c r="U344" s="3"/>
      <c r="V344" s="3"/>
      <c r="W344" s="3"/>
      <c r="X344" s="3"/>
      <c r="Y344" s="3"/>
      <c r="Z344" s="3"/>
    </row>
    <row r="345" spans="1:26" s="110" customFormat="1">
      <c r="A345" s="131">
        <v>344</v>
      </c>
      <c r="B345" s="111" t="s">
        <v>2012</v>
      </c>
      <c r="C345" s="164">
        <v>44202</v>
      </c>
      <c r="D345" s="113" t="s">
        <v>21</v>
      </c>
      <c r="E345" s="45"/>
      <c r="F345" s="3"/>
      <c r="G345" s="62"/>
      <c r="H345" s="3"/>
      <c r="I345" s="3"/>
      <c r="J345" s="3"/>
      <c r="K345" s="3"/>
      <c r="L345" s="3"/>
      <c r="M345" s="3"/>
      <c r="N345" s="3"/>
      <c r="O345" s="3"/>
      <c r="P345" s="3"/>
      <c r="Q345" s="3"/>
      <c r="R345" s="3"/>
      <c r="S345" s="3"/>
      <c r="T345" s="3"/>
      <c r="U345" s="3"/>
      <c r="V345" s="3"/>
      <c r="W345" s="3"/>
      <c r="X345" s="3"/>
      <c r="Y345" s="3"/>
      <c r="Z345" s="3"/>
    </row>
    <row r="346" spans="1:26" s="178" customFormat="1" ht="15">
      <c r="A346" s="360">
        <v>345</v>
      </c>
      <c r="B346" s="184" t="s">
        <v>2013</v>
      </c>
      <c r="C346" s="333">
        <v>44206</v>
      </c>
      <c r="D346" s="335" t="s">
        <v>2014</v>
      </c>
      <c r="E346" s="185"/>
      <c r="F346"/>
    </row>
    <row r="347" spans="1:26" customFormat="1" ht="15">
      <c r="A347" s="131">
        <v>346</v>
      </c>
      <c r="B347" s="149" t="s">
        <v>2015</v>
      </c>
      <c r="C347" s="175">
        <v>44213</v>
      </c>
      <c r="D347" s="176" t="s">
        <v>2016</v>
      </c>
      <c r="E347" s="150"/>
    </row>
    <row r="348" spans="1:26" s="110" customFormat="1">
      <c r="A348" s="131">
        <v>347</v>
      </c>
      <c r="B348" s="2" t="s">
        <v>2017</v>
      </c>
      <c r="C348" s="164">
        <v>44215</v>
      </c>
      <c r="D348" s="165" t="s">
        <v>2018</v>
      </c>
      <c r="E348" s="58"/>
      <c r="F348" s="3"/>
      <c r="G348" s="3"/>
      <c r="H348" s="3"/>
      <c r="I348" s="3"/>
      <c r="J348" s="3"/>
      <c r="K348" s="3"/>
      <c r="L348" s="3"/>
      <c r="M348" s="3"/>
      <c r="N348" s="3"/>
      <c r="O348" s="3"/>
      <c r="P348" s="3"/>
      <c r="Q348" s="3"/>
      <c r="R348" s="3"/>
      <c r="S348" s="3"/>
      <c r="T348" s="3"/>
      <c r="U348" s="3"/>
      <c r="V348" s="3"/>
      <c r="W348" s="3"/>
      <c r="X348" s="3"/>
      <c r="Y348" s="3"/>
      <c r="Z348" s="3"/>
    </row>
    <row r="349" spans="1:26" s="110" customFormat="1">
      <c r="A349" s="131">
        <v>348</v>
      </c>
      <c r="B349" s="2" t="s">
        <v>2019</v>
      </c>
      <c r="C349" s="164">
        <v>44215</v>
      </c>
      <c r="D349" s="165" t="s">
        <v>2020</v>
      </c>
      <c r="E349" s="58"/>
      <c r="F349" s="3"/>
      <c r="G349" s="3"/>
      <c r="H349" s="3"/>
      <c r="I349" s="3"/>
      <c r="J349" s="3"/>
      <c r="K349" s="3"/>
      <c r="L349" s="3"/>
      <c r="M349" s="3"/>
      <c r="N349" s="3"/>
      <c r="O349" s="3"/>
      <c r="P349" s="3"/>
      <c r="Q349" s="3"/>
      <c r="R349" s="3"/>
      <c r="S349" s="3"/>
      <c r="T349" s="3"/>
      <c r="U349" s="3"/>
      <c r="V349" s="3"/>
      <c r="W349" s="3"/>
      <c r="X349" s="3"/>
      <c r="Y349" s="3"/>
      <c r="Z349" s="3"/>
    </row>
    <row r="350" spans="1:26" s="110" customFormat="1">
      <c r="A350" s="131">
        <v>349</v>
      </c>
      <c r="B350" s="2" t="s">
        <v>2021</v>
      </c>
      <c r="C350" s="164">
        <v>44215</v>
      </c>
      <c r="D350" s="165" t="s">
        <v>2018</v>
      </c>
      <c r="E350" s="58"/>
      <c r="F350" s="3"/>
      <c r="G350" s="3"/>
      <c r="H350" s="3"/>
      <c r="I350" s="3"/>
      <c r="J350" s="3"/>
      <c r="K350" s="3"/>
      <c r="L350" s="3"/>
      <c r="M350" s="3"/>
      <c r="N350" s="3"/>
      <c r="O350" s="3"/>
      <c r="P350" s="3"/>
      <c r="Q350" s="3"/>
      <c r="R350" s="3"/>
      <c r="S350" s="3"/>
      <c r="T350" s="3"/>
      <c r="U350" s="3"/>
      <c r="V350" s="3"/>
      <c r="W350" s="3"/>
      <c r="X350" s="3"/>
      <c r="Y350" s="3"/>
      <c r="Z350" s="3"/>
    </row>
    <row r="351" spans="1:26" s="110" customFormat="1">
      <c r="A351" s="131">
        <v>350</v>
      </c>
      <c r="B351" s="2" t="s">
        <v>2022</v>
      </c>
      <c r="C351" s="164">
        <v>44216</v>
      </c>
      <c r="D351" s="165" t="s">
        <v>2020</v>
      </c>
      <c r="E351" s="58"/>
      <c r="F351" s="3"/>
      <c r="G351" s="3"/>
      <c r="H351" s="3"/>
      <c r="I351" s="3"/>
      <c r="J351" s="3"/>
      <c r="K351" s="3"/>
      <c r="L351" s="3"/>
      <c r="M351" s="3"/>
      <c r="N351" s="3"/>
      <c r="O351" s="3"/>
      <c r="P351" s="3"/>
      <c r="Q351" s="3"/>
      <c r="R351" s="3"/>
      <c r="S351" s="3"/>
      <c r="T351" s="3"/>
      <c r="U351" s="3"/>
      <c r="V351" s="3"/>
      <c r="W351" s="3"/>
      <c r="X351" s="3"/>
      <c r="Y351" s="3"/>
      <c r="Z351" s="3"/>
    </row>
    <row r="352" spans="1:26" s="186" customFormat="1">
      <c r="A352" s="360">
        <v>351</v>
      </c>
      <c r="B352" s="184" t="s">
        <v>2023</v>
      </c>
      <c r="C352" s="333">
        <v>44224</v>
      </c>
      <c r="D352" s="335" t="s">
        <v>2024</v>
      </c>
      <c r="F352" s="58"/>
    </row>
    <row r="353" spans="1:26">
      <c r="A353" s="131">
        <v>352</v>
      </c>
      <c r="B353" s="2" t="s">
        <v>2025</v>
      </c>
      <c r="C353" s="164">
        <v>44224</v>
      </c>
      <c r="D353" s="165" t="s">
        <v>2026</v>
      </c>
      <c r="E353" s="58"/>
      <c r="F353" s="3"/>
      <c r="G353" s="3"/>
      <c r="H353" s="3"/>
      <c r="I353" s="3"/>
      <c r="J353" s="3"/>
      <c r="K353" s="3"/>
      <c r="L353" s="3"/>
      <c r="M353" s="3"/>
      <c r="N353" s="3"/>
      <c r="O353" s="3"/>
      <c r="P353" s="3"/>
      <c r="Q353" s="3"/>
      <c r="R353" s="3"/>
      <c r="S353" s="3"/>
      <c r="T353" s="3"/>
      <c r="U353" s="3"/>
      <c r="V353" s="3"/>
      <c r="W353" s="3"/>
      <c r="X353" s="3"/>
      <c r="Y353" s="3"/>
      <c r="Z353" s="3"/>
    </row>
    <row r="354" spans="1:26">
      <c r="A354" s="131">
        <v>354</v>
      </c>
      <c r="B354" s="2" t="s">
        <v>2027</v>
      </c>
      <c r="C354" s="164">
        <v>44229</v>
      </c>
      <c r="D354" s="165" t="s">
        <v>2028</v>
      </c>
      <c r="E354" s="58"/>
      <c r="F354" s="3"/>
      <c r="G354" s="3"/>
      <c r="H354" s="3"/>
      <c r="I354" s="3"/>
      <c r="J354" s="3"/>
      <c r="K354" s="3"/>
      <c r="L354" s="3"/>
      <c r="M354" s="3"/>
      <c r="N354" s="3"/>
      <c r="O354" s="3"/>
      <c r="P354" s="3"/>
      <c r="Q354" s="3"/>
      <c r="R354" s="3"/>
      <c r="S354" s="3"/>
      <c r="T354" s="3"/>
      <c r="U354" s="3"/>
      <c r="V354" s="3"/>
      <c r="W354" s="3"/>
      <c r="X354" s="3"/>
      <c r="Y354" s="3"/>
      <c r="Z354" s="3"/>
    </row>
    <row r="355" spans="1:26">
      <c r="A355" s="131">
        <v>356</v>
      </c>
      <c r="B355" s="2" t="s">
        <v>1462</v>
      </c>
      <c r="C355" s="164">
        <v>44229</v>
      </c>
      <c r="D355" s="165" t="s">
        <v>1408</v>
      </c>
      <c r="E355" s="58"/>
      <c r="F355" s="112"/>
      <c r="G355" s="3"/>
      <c r="H355" s="3"/>
      <c r="I355" s="3"/>
      <c r="J355" s="3"/>
      <c r="K355" s="3"/>
      <c r="L355" s="3"/>
      <c r="M355" s="3"/>
      <c r="N355" s="3"/>
      <c r="O355" s="3"/>
      <c r="P355" s="3"/>
      <c r="Q355" s="3"/>
      <c r="R355" s="3"/>
      <c r="S355" s="3"/>
      <c r="T355" s="3"/>
      <c r="U355" s="3"/>
      <c r="V355" s="3"/>
      <c r="W355" s="3"/>
      <c r="X355" s="3"/>
      <c r="Y355" s="3"/>
      <c r="Z355" s="3"/>
    </row>
    <row r="356" spans="1:26">
      <c r="A356" s="131">
        <v>357</v>
      </c>
      <c r="B356" s="2" t="s">
        <v>2029</v>
      </c>
      <c r="C356" s="351">
        <v>44234</v>
      </c>
      <c r="D356" s="165" t="s">
        <v>2030</v>
      </c>
      <c r="E356" s="58"/>
      <c r="F356" s="112"/>
      <c r="G356" s="3"/>
      <c r="H356" s="3"/>
      <c r="I356" s="3"/>
      <c r="J356" s="3"/>
      <c r="K356" s="3"/>
      <c r="L356" s="3"/>
      <c r="M356" s="3"/>
      <c r="N356" s="3"/>
      <c r="O356" s="3"/>
      <c r="P356" s="3"/>
      <c r="Q356" s="3"/>
      <c r="R356" s="3"/>
      <c r="S356" s="3"/>
      <c r="T356" s="3"/>
      <c r="U356" s="3"/>
      <c r="V356" s="3"/>
      <c r="W356" s="3"/>
      <c r="X356" s="3"/>
      <c r="Y356" s="3"/>
      <c r="Z356" s="3"/>
    </row>
    <row r="357" spans="1:26">
      <c r="A357" s="131">
        <v>358</v>
      </c>
      <c r="B357" s="2" t="s">
        <v>2013</v>
      </c>
      <c r="C357" s="164">
        <v>44237</v>
      </c>
      <c r="D357" s="165" t="s">
        <v>2031</v>
      </c>
      <c r="E357" s="58"/>
      <c r="F357" s="112"/>
      <c r="G357" s="3"/>
      <c r="H357" s="3"/>
      <c r="I357" s="3"/>
      <c r="J357" s="3"/>
      <c r="K357" s="3"/>
      <c r="L357" s="3"/>
      <c r="M357" s="3"/>
      <c r="N357" s="3"/>
      <c r="O357" s="3"/>
      <c r="P357" s="3"/>
      <c r="Q357" s="3"/>
      <c r="R357" s="3"/>
      <c r="S357" s="3"/>
      <c r="T357" s="3"/>
      <c r="U357" s="3"/>
      <c r="V357" s="3"/>
      <c r="W357" s="3"/>
      <c r="X357" s="3"/>
      <c r="Y357" s="3"/>
      <c r="Z357" s="3"/>
    </row>
    <row r="358" spans="1:26">
      <c r="A358" s="131">
        <v>359</v>
      </c>
      <c r="B358" s="2" t="s">
        <v>2032</v>
      </c>
      <c r="C358" s="164">
        <v>44238</v>
      </c>
      <c r="D358" s="165" t="s">
        <v>2033</v>
      </c>
      <c r="E358" s="58"/>
      <c r="F358" s="112"/>
      <c r="G358" s="3"/>
      <c r="H358" s="3"/>
      <c r="I358" s="3"/>
      <c r="J358" s="3"/>
      <c r="K358" s="3"/>
      <c r="L358" s="3"/>
      <c r="M358" s="3"/>
      <c r="N358" s="3"/>
      <c r="O358" s="3"/>
      <c r="P358" s="3"/>
      <c r="Q358" s="3"/>
      <c r="R358" s="3"/>
      <c r="S358" s="3"/>
      <c r="T358" s="3"/>
      <c r="U358" s="3"/>
      <c r="V358" s="3"/>
      <c r="W358" s="3"/>
      <c r="X358" s="3"/>
      <c r="Y358" s="3"/>
      <c r="Z358" s="3"/>
    </row>
    <row r="359" spans="1:26" ht="28.8">
      <c r="A359" s="131">
        <v>360</v>
      </c>
      <c r="B359" s="2" t="s">
        <v>2015</v>
      </c>
      <c r="C359" s="164">
        <v>44244</v>
      </c>
      <c r="D359" s="12" t="s">
        <v>4878</v>
      </c>
      <c r="E359" s="58"/>
      <c r="F359" s="112"/>
      <c r="G359" s="3"/>
      <c r="H359" s="3"/>
      <c r="I359" s="3"/>
      <c r="J359" s="3"/>
      <c r="K359" s="3"/>
      <c r="L359" s="3"/>
      <c r="M359" s="3"/>
      <c r="N359" s="3"/>
      <c r="O359" s="3"/>
      <c r="P359" s="3"/>
      <c r="Q359" s="3"/>
      <c r="R359" s="3"/>
      <c r="S359" s="3"/>
      <c r="T359" s="3"/>
      <c r="U359" s="3"/>
      <c r="V359" s="3"/>
      <c r="W359" s="3"/>
      <c r="X359" s="3"/>
      <c r="Y359" s="3"/>
      <c r="Z359" s="3"/>
    </row>
    <row r="360" spans="1:26">
      <c r="A360" s="131">
        <v>361</v>
      </c>
      <c r="B360" s="2" t="s">
        <v>2034</v>
      </c>
      <c r="C360" s="164">
        <v>44250</v>
      </c>
      <c r="D360" s="165" t="s">
        <v>2035</v>
      </c>
      <c r="E360" s="58"/>
      <c r="F360" s="112"/>
      <c r="G360" s="3"/>
      <c r="H360" s="3"/>
      <c r="I360" s="3"/>
      <c r="J360" s="3"/>
      <c r="K360" s="3"/>
      <c r="L360" s="3"/>
      <c r="M360" s="3"/>
      <c r="N360" s="3"/>
      <c r="O360" s="3"/>
      <c r="P360" s="3"/>
      <c r="Q360" s="3"/>
      <c r="R360" s="3"/>
      <c r="S360" s="3"/>
      <c r="T360" s="3"/>
      <c r="U360" s="3"/>
      <c r="V360" s="3"/>
      <c r="W360" s="3"/>
      <c r="X360" s="3"/>
      <c r="Y360" s="3"/>
      <c r="Z360" s="3"/>
    </row>
    <row r="361" spans="1:26">
      <c r="A361" s="131">
        <v>362</v>
      </c>
      <c r="B361" s="2" t="s">
        <v>2036</v>
      </c>
      <c r="C361" s="164">
        <v>44250</v>
      </c>
      <c r="D361" s="165" t="s">
        <v>2037</v>
      </c>
      <c r="E361" s="58"/>
      <c r="F361" s="112"/>
      <c r="G361" s="3"/>
      <c r="H361" s="3"/>
      <c r="I361" s="3"/>
      <c r="J361" s="3"/>
      <c r="K361" s="3"/>
      <c r="L361" s="3"/>
      <c r="M361" s="3"/>
      <c r="N361" s="3"/>
      <c r="O361" s="3"/>
      <c r="P361" s="3"/>
      <c r="Q361" s="3"/>
      <c r="R361" s="3"/>
      <c r="S361" s="3"/>
      <c r="T361" s="3"/>
      <c r="U361" s="3"/>
      <c r="V361" s="3"/>
      <c r="W361" s="3"/>
      <c r="X361" s="3"/>
      <c r="Y361" s="3"/>
      <c r="Z361" s="3"/>
    </row>
    <row r="362" spans="1:26" s="191" customFormat="1" ht="15">
      <c r="A362" s="361">
        <v>363</v>
      </c>
      <c r="B362" s="192" t="s">
        <v>2038</v>
      </c>
      <c r="C362" s="362">
        <v>44280</v>
      </c>
      <c r="D362" s="335" t="s">
        <v>2046</v>
      </c>
      <c r="E362" s="189"/>
      <c r="F362" s="112"/>
      <c r="G362" s="190"/>
      <c r="H362" s="190"/>
      <c r="I362" s="190"/>
      <c r="J362" s="190"/>
      <c r="K362" s="190"/>
      <c r="L362" s="190"/>
      <c r="M362" s="190"/>
      <c r="N362" s="190"/>
      <c r="O362" s="190"/>
      <c r="P362" s="190"/>
      <c r="Q362" s="190"/>
      <c r="R362" s="190"/>
      <c r="S362" s="190"/>
      <c r="T362" s="190"/>
      <c r="U362" s="190"/>
      <c r="V362" s="190"/>
      <c r="W362" s="190"/>
      <c r="X362" s="190"/>
      <c r="Y362" s="190"/>
      <c r="Z362" s="190"/>
    </row>
    <row r="363" spans="1:26">
      <c r="A363" s="131">
        <v>364</v>
      </c>
      <c r="B363" s="2" t="s">
        <v>2039</v>
      </c>
      <c r="C363" s="164">
        <v>44253</v>
      </c>
      <c r="D363" s="165" t="s">
        <v>2040</v>
      </c>
      <c r="E363" s="58"/>
      <c r="F363" s="112"/>
      <c r="G363" s="3"/>
      <c r="H363" s="3"/>
      <c r="I363" s="3"/>
      <c r="J363" s="3"/>
      <c r="K363" s="3"/>
      <c r="L363" s="3"/>
      <c r="M363" s="3"/>
      <c r="N363" s="3"/>
      <c r="O363" s="3"/>
      <c r="P363" s="3"/>
      <c r="Q363" s="3"/>
      <c r="R363" s="3"/>
      <c r="S363" s="3"/>
      <c r="T363" s="3"/>
      <c r="U363" s="3"/>
      <c r="V363" s="3"/>
      <c r="W363" s="3"/>
      <c r="X363" s="3"/>
      <c r="Y363" s="3"/>
      <c r="Z363" s="3"/>
    </row>
    <row r="364" spans="1:26" ht="28.8">
      <c r="A364" s="131">
        <v>365</v>
      </c>
      <c r="B364" s="2" t="s">
        <v>2041</v>
      </c>
      <c r="C364" s="164">
        <v>44253</v>
      </c>
      <c r="D364" s="165" t="s">
        <v>2042</v>
      </c>
      <c r="E364" s="58"/>
      <c r="F364" s="112"/>
      <c r="G364" s="3"/>
      <c r="H364" s="3"/>
      <c r="I364" s="3"/>
      <c r="J364" s="3"/>
      <c r="K364" s="3"/>
      <c r="L364" s="3"/>
      <c r="M364" s="3"/>
      <c r="N364" s="3"/>
      <c r="O364" s="3"/>
      <c r="P364" s="3"/>
      <c r="Q364" s="3"/>
      <c r="R364" s="3"/>
      <c r="S364" s="3"/>
      <c r="T364" s="3"/>
      <c r="U364" s="3"/>
      <c r="V364" s="3"/>
      <c r="W364" s="3"/>
      <c r="X364" s="3"/>
      <c r="Y364" s="3"/>
      <c r="Z364" s="3"/>
    </row>
    <row r="365" spans="1:26">
      <c r="A365" s="131">
        <v>366</v>
      </c>
      <c r="B365" s="2" t="s">
        <v>2043</v>
      </c>
      <c r="C365" s="164">
        <v>44258</v>
      </c>
      <c r="D365" s="165" t="s">
        <v>2044</v>
      </c>
      <c r="E365" s="58"/>
      <c r="F365" s="112"/>
      <c r="G365" s="3"/>
      <c r="H365" s="3"/>
      <c r="I365" s="3"/>
      <c r="J365" s="3"/>
      <c r="K365" s="3"/>
      <c r="L365" s="3"/>
      <c r="M365" s="3"/>
      <c r="N365" s="3"/>
      <c r="O365" s="3"/>
      <c r="P365" s="3"/>
      <c r="Q365" s="3"/>
      <c r="R365" s="3"/>
      <c r="S365" s="3"/>
      <c r="T365" s="3"/>
      <c r="U365" s="3"/>
      <c r="V365" s="3"/>
      <c r="W365" s="3"/>
      <c r="X365" s="3"/>
      <c r="Y365" s="3"/>
      <c r="Z365" s="3"/>
    </row>
    <row r="366" spans="1:26">
      <c r="A366" s="131">
        <v>367</v>
      </c>
      <c r="B366" s="2" t="s">
        <v>2045</v>
      </c>
      <c r="C366" s="164">
        <v>44284</v>
      </c>
      <c r="D366" s="165" t="s">
        <v>2046</v>
      </c>
      <c r="E366" s="58"/>
      <c r="F366" s="112"/>
      <c r="G366" s="3"/>
      <c r="H366" s="3"/>
      <c r="I366" s="3"/>
      <c r="J366" s="3"/>
      <c r="K366" s="3"/>
      <c r="L366" s="3"/>
      <c r="M366" s="3"/>
      <c r="N366" s="3"/>
      <c r="O366" s="3"/>
      <c r="P366" s="3"/>
      <c r="Q366" s="3"/>
      <c r="R366" s="3"/>
      <c r="S366" s="3"/>
      <c r="T366" s="3"/>
      <c r="U366" s="3"/>
      <c r="V366" s="3"/>
      <c r="W366" s="3"/>
      <c r="X366" s="3"/>
      <c r="Y366" s="3"/>
      <c r="Z366" s="3"/>
    </row>
    <row r="367" spans="1:26">
      <c r="A367" s="131">
        <v>368</v>
      </c>
      <c r="B367" s="2" t="s">
        <v>2047</v>
      </c>
      <c r="C367" s="164">
        <v>44292</v>
      </c>
      <c r="D367" s="165" t="s">
        <v>2048</v>
      </c>
      <c r="E367" s="58"/>
      <c r="F367" s="132" t="s">
        <v>2048</v>
      </c>
      <c r="G367" s="3"/>
      <c r="H367" s="3"/>
      <c r="I367" s="3"/>
      <c r="J367" s="3"/>
      <c r="K367" s="3"/>
      <c r="L367" s="3"/>
      <c r="M367" s="3"/>
      <c r="N367" s="3"/>
      <c r="O367" s="3"/>
      <c r="P367" s="3"/>
      <c r="Q367" s="3"/>
      <c r="R367" s="3"/>
      <c r="S367" s="3"/>
      <c r="T367" s="3"/>
      <c r="U367" s="3"/>
      <c r="V367" s="3"/>
      <c r="W367" s="3"/>
      <c r="X367" s="3"/>
      <c r="Y367" s="3"/>
      <c r="Z367" s="3"/>
    </row>
    <row r="368" spans="1:26">
      <c r="A368" s="131">
        <v>369</v>
      </c>
      <c r="B368" s="2" t="s">
        <v>2049</v>
      </c>
      <c r="C368" s="164">
        <v>44292</v>
      </c>
      <c r="D368" s="165" t="s">
        <v>2048</v>
      </c>
      <c r="E368" s="58"/>
      <c r="F368" s="132" t="s">
        <v>2048</v>
      </c>
      <c r="G368" s="3"/>
      <c r="H368" s="3"/>
      <c r="I368" s="3"/>
      <c r="J368" s="3"/>
      <c r="K368" s="3"/>
      <c r="L368" s="3"/>
      <c r="M368" s="3"/>
      <c r="N368" s="3"/>
      <c r="O368" s="3"/>
      <c r="P368" s="3"/>
      <c r="Q368" s="3"/>
      <c r="R368" s="3"/>
      <c r="S368" s="3"/>
      <c r="T368" s="3"/>
      <c r="U368" s="3"/>
      <c r="V368" s="3"/>
      <c r="W368" s="3"/>
      <c r="X368" s="3"/>
      <c r="Y368" s="3"/>
      <c r="Z368" s="3"/>
    </row>
    <row r="369" spans="1:26">
      <c r="A369" s="131">
        <v>370</v>
      </c>
      <c r="B369" s="2" t="s">
        <v>2050</v>
      </c>
      <c r="C369" s="164">
        <v>44301</v>
      </c>
      <c r="D369" s="165" t="s">
        <v>2051</v>
      </c>
      <c r="E369" s="58"/>
      <c r="F369" s="112"/>
      <c r="G369" s="3"/>
      <c r="H369" s="3"/>
      <c r="I369" s="3"/>
      <c r="J369" s="3"/>
      <c r="K369" s="3"/>
      <c r="L369" s="3"/>
      <c r="M369" s="3"/>
      <c r="N369" s="3"/>
      <c r="O369" s="3"/>
      <c r="P369" s="3"/>
      <c r="Q369" s="3"/>
      <c r="R369" s="3"/>
      <c r="S369" s="3"/>
      <c r="T369" s="3"/>
      <c r="U369" s="3"/>
      <c r="V369" s="3"/>
      <c r="W369" s="3"/>
      <c r="X369" s="3"/>
      <c r="Y369" s="3"/>
      <c r="Z369" s="3"/>
    </row>
    <row r="370" spans="1:26">
      <c r="A370" s="131">
        <v>371</v>
      </c>
      <c r="B370" s="2" t="s">
        <v>2052</v>
      </c>
      <c r="C370" s="164">
        <v>44301</v>
      </c>
      <c r="D370" s="165" t="s">
        <v>2051</v>
      </c>
      <c r="E370" s="58"/>
      <c r="F370" s="112"/>
      <c r="G370" s="3"/>
      <c r="H370" s="3"/>
      <c r="I370" s="3"/>
      <c r="J370" s="3"/>
      <c r="K370" s="3"/>
      <c r="L370" s="3"/>
      <c r="M370" s="3"/>
      <c r="N370" s="3"/>
      <c r="O370" s="3"/>
      <c r="P370" s="3"/>
      <c r="Q370" s="3"/>
      <c r="R370" s="3"/>
      <c r="S370" s="3"/>
      <c r="T370" s="3"/>
      <c r="U370" s="3"/>
      <c r="V370" s="3"/>
      <c r="W370" s="3"/>
      <c r="X370" s="3"/>
      <c r="Y370" s="3"/>
      <c r="Z370" s="3"/>
    </row>
    <row r="371" spans="1:26" s="166" customFormat="1">
      <c r="A371" s="131">
        <v>372</v>
      </c>
      <c r="B371" s="2" t="s">
        <v>2053</v>
      </c>
      <c r="C371" s="164">
        <v>44305</v>
      </c>
      <c r="D371" s="165" t="s">
        <v>2054</v>
      </c>
      <c r="E371" s="165"/>
      <c r="F371" s="107"/>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c r="A372" s="131">
        <v>373</v>
      </c>
      <c r="B372" s="2" t="s">
        <v>2055</v>
      </c>
      <c r="C372" s="164">
        <v>44306</v>
      </c>
      <c r="D372" s="165" t="s">
        <v>2056</v>
      </c>
      <c r="E372" s="58"/>
      <c r="F372" s="112"/>
      <c r="G372" s="3"/>
      <c r="H372" s="3"/>
      <c r="I372" s="3"/>
      <c r="J372" s="3"/>
      <c r="K372" s="3"/>
      <c r="L372" s="3"/>
      <c r="M372" s="3"/>
      <c r="N372" s="3"/>
      <c r="O372" s="3"/>
      <c r="P372" s="3"/>
      <c r="Q372" s="3"/>
      <c r="R372" s="3"/>
      <c r="S372" s="3"/>
      <c r="T372" s="3"/>
      <c r="U372" s="3"/>
      <c r="V372" s="3"/>
      <c r="W372" s="3"/>
      <c r="X372" s="3"/>
      <c r="Y372" s="3"/>
      <c r="Z372" s="3"/>
    </row>
    <row r="373" spans="1:26">
      <c r="A373" s="131">
        <v>374</v>
      </c>
      <c r="B373" s="2" t="s">
        <v>2057</v>
      </c>
      <c r="C373" s="164">
        <v>44307</v>
      </c>
      <c r="D373" s="165" t="s">
        <v>2058</v>
      </c>
      <c r="E373" s="58"/>
      <c r="F373" s="112"/>
      <c r="G373" s="3"/>
      <c r="H373" s="3"/>
      <c r="I373" s="3"/>
      <c r="J373" s="3"/>
      <c r="K373" s="3"/>
      <c r="L373" s="3"/>
      <c r="M373" s="3"/>
      <c r="N373" s="3"/>
      <c r="O373" s="3"/>
      <c r="P373" s="3"/>
      <c r="Q373" s="3"/>
      <c r="R373" s="3"/>
      <c r="S373" s="3"/>
      <c r="T373" s="3"/>
      <c r="U373" s="3"/>
      <c r="V373" s="3"/>
      <c r="W373" s="3"/>
      <c r="X373" s="3"/>
      <c r="Y373" s="3"/>
      <c r="Z373" s="3"/>
    </row>
    <row r="374" spans="1:26">
      <c r="A374" s="131">
        <v>375</v>
      </c>
      <c r="B374" s="2" t="s">
        <v>2059</v>
      </c>
      <c r="C374" s="164">
        <v>44308</v>
      </c>
      <c r="D374" s="165" t="s">
        <v>2060</v>
      </c>
      <c r="E374" s="58"/>
      <c r="F374" s="112"/>
      <c r="G374" s="3"/>
      <c r="H374" s="3"/>
      <c r="I374" s="3"/>
      <c r="J374" s="3"/>
      <c r="K374" s="3"/>
      <c r="L374" s="3"/>
      <c r="M374" s="3"/>
      <c r="N374" s="3"/>
      <c r="O374" s="3"/>
      <c r="P374" s="3"/>
      <c r="Q374" s="3"/>
      <c r="R374" s="3"/>
      <c r="S374" s="3"/>
      <c r="T374" s="3"/>
      <c r="U374" s="3"/>
      <c r="V374" s="3"/>
      <c r="W374" s="3"/>
      <c r="X374" s="3"/>
      <c r="Y374" s="3"/>
      <c r="Z374" s="3"/>
    </row>
    <row r="375" spans="1:26">
      <c r="A375" s="131">
        <v>376</v>
      </c>
      <c r="B375" s="2" t="s">
        <v>2061</v>
      </c>
      <c r="C375" s="164">
        <v>44326</v>
      </c>
      <c r="D375" s="165" t="s">
        <v>1962</v>
      </c>
      <c r="E375" s="58"/>
      <c r="F375" s="112"/>
      <c r="G375" s="3"/>
      <c r="H375" s="3"/>
      <c r="I375" s="3"/>
      <c r="J375" s="3"/>
      <c r="K375" s="3"/>
      <c r="L375" s="3"/>
      <c r="M375" s="3"/>
      <c r="N375" s="3"/>
      <c r="O375" s="3"/>
      <c r="P375" s="3"/>
      <c r="Q375" s="3"/>
      <c r="R375" s="3"/>
      <c r="S375" s="3"/>
      <c r="T375" s="3"/>
      <c r="U375" s="3"/>
      <c r="V375" s="3"/>
      <c r="W375" s="3"/>
      <c r="X375" s="3"/>
      <c r="Y375" s="3"/>
      <c r="Z375" s="3"/>
    </row>
    <row r="376" spans="1:26">
      <c r="A376" s="131">
        <v>377</v>
      </c>
      <c r="B376" s="2" t="s">
        <v>2062</v>
      </c>
      <c r="C376" s="164">
        <v>44333</v>
      </c>
      <c r="D376" s="165" t="s">
        <v>2063</v>
      </c>
      <c r="E376" s="58"/>
      <c r="F376" s="3"/>
      <c r="G376" s="3"/>
      <c r="H376" s="3"/>
      <c r="I376" s="3"/>
      <c r="J376" s="3"/>
      <c r="K376" s="3"/>
      <c r="L376" s="3"/>
      <c r="M376" s="3"/>
      <c r="N376" s="3"/>
      <c r="O376" s="3"/>
      <c r="P376" s="3"/>
      <c r="Q376" s="3"/>
      <c r="R376" s="3"/>
      <c r="S376" s="3"/>
      <c r="T376" s="3"/>
      <c r="U376" s="3"/>
      <c r="V376" s="3"/>
      <c r="W376" s="3"/>
      <c r="X376" s="3"/>
      <c r="Y376" s="3"/>
      <c r="Z376" s="3"/>
    </row>
    <row r="377" spans="1:26">
      <c r="A377" s="131">
        <v>378</v>
      </c>
      <c r="B377" s="2" t="s">
        <v>2064</v>
      </c>
      <c r="C377" s="164">
        <v>44334</v>
      </c>
      <c r="D377" s="165" t="s">
        <v>2063</v>
      </c>
      <c r="E377" s="58"/>
      <c r="F377" s="3"/>
      <c r="G377" s="3"/>
      <c r="H377" s="3"/>
      <c r="I377" s="3"/>
      <c r="J377" s="3"/>
      <c r="K377" s="3"/>
      <c r="L377" s="3"/>
      <c r="M377" s="3"/>
      <c r="N377" s="3"/>
      <c r="O377" s="3"/>
      <c r="P377" s="3"/>
      <c r="Q377" s="3"/>
      <c r="R377" s="3"/>
      <c r="S377" s="3"/>
      <c r="T377" s="3"/>
      <c r="U377" s="3"/>
      <c r="V377" s="3"/>
      <c r="W377" s="3"/>
      <c r="X377" s="3"/>
      <c r="Y377" s="3"/>
      <c r="Z377" s="3"/>
    </row>
    <row r="378" spans="1:26">
      <c r="A378" s="131">
        <v>379</v>
      </c>
      <c r="B378" s="2" t="s">
        <v>2065</v>
      </c>
      <c r="C378" s="164">
        <v>44336</v>
      </c>
      <c r="D378" s="165" t="s">
        <v>2066</v>
      </c>
      <c r="E378" s="58"/>
      <c r="F378" s="3"/>
      <c r="G378" s="3"/>
      <c r="H378" s="3"/>
      <c r="I378" s="3"/>
      <c r="J378" s="3"/>
      <c r="K378" s="3"/>
      <c r="L378" s="3"/>
      <c r="M378" s="3"/>
      <c r="N378" s="3"/>
      <c r="O378" s="3"/>
      <c r="P378" s="3"/>
      <c r="Q378" s="3"/>
      <c r="R378" s="3"/>
      <c r="S378" s="3"/>
      <c r="T378" s="3"/>
      <c r="U378" s="3"/>
      <c r="V378" s="3"/>
      <c r="W378" s="3"/>
      <c r="X378" s="3"/>
      <c r="Y378" s="3"/>
      <c r="Z378" s="3"/>
    </row>
    <row r="379" spans="1:26">
      <c r="A379" s="131">
        <v>380</v>
      </c>
      <c r="B379" s="2" t="s">
        <v>2067</v>
      </c>
      <c r="C379" s="164">
        <v>44344</v>
      </c>
      <c r="D379" s="165" t="s">
        <v>2068</v>
      </c>
      <c r="E379" s="58"/>
      <c r="F379" s="3"/>
      <c r="G379" s="3"/>
      <c r="H379" s="3"/>
      <c r="I379" s="3"/>
      <c r="J379" s="3"/>
      <c r="K379" s="3"/>
      <c r="L379" s="3"/>
      <c r="M379" s="3"/>
      <c r="N379" s="3"/>
      <c r="O379" s="3"/>
      <c r="P379" s="3"/>
      <c r="Q379" s="3"/>
      <c r="R379" s="3"/>
      <c r="S379" s="3"/>
      <c r="T379" s="3"/>
      <c r="U379" s="3"/>
      <c r="V379" s="3"/>
      <c r="W379" s="3"/>
      <c r="X379" s="3"/>
      <c r="Y379" s="3"/>
      <c r="Z379" s="3"/>
    </row>
    <row r="380" spans="1:26">
      <c r="A380" s="131">
        <v>381</v>
      </c>
      <c r="B380" s="2" t="s">
        <v>2069</v>
      </c>
      <c r="C380" s="164">
        <v>44344</v>
      </c>
      <c r="D380" s="165" t="s">
        <v>2068</v>
      </c>
      <c r="E380" s="58"/>
      <c r="F380" s="3"/>
      <c r="G380" s="3"/>
      <c r="H380" s="3"/>
      <c r="I380" s="3"/>
      <c r="J380" s="3"/>
      <c r="K380" s="3"/>
      <c r="L380" s="3"/>
      <c r="M380" s="3"/>
      <c r="N380" s="3"/>
      <c r="O380" s="3"/>
      <c r="P380" s="3"/>
      <c r="Q380" s="3"/>
      <c r="R380" s="3"/>
      <c r="S380" s="3"/>
      <c r="T380" s="3"/>
      <c r="U380" s="3"/>
      <c r="V380" s="3"/>
      <c r="W380" s="3"/>
      <c r="X380" s="3"/>
      <c r="Y380" s="3"/>
      <c r="Z380" s="3"/>
    </row>
    <row r="381" spans="1:26">
      <c r="A381" s="131">
        <v>382</v>
      </c>
      <c r="B381" s="2" t="s">
        <v>2070</v>
      </c>
      <c r="C381" s="164">
        <v>44358</v>
      </c>
      <c r="D381" s="165" t="s">
        <v>2071</v>
      </c>
      <c r="E381" s="58"/>
      <c r="F381" s="3"/>
      <c r="G381" s="3"/>
      <c r="H381" s="3"/>
      <c r="I381" s="3"/>
      <c r="J381" s="3"/>
      <c r="K381" s="3"/>
      <c r="L381" s="3"/>
      <c r="M381" s="3"/>
      <c r="N381" s="3"/>
      <c r="O381" s="3"/>
      <c r="P381" s="3"/>
      <c r="Q381" s="3"/>
      <c r="R381" s="3"/>
      <c r="S381" s="3"/>
      <c r="T381" s="3"/>
      <c r="U381" s="3"/>
      <c r="V381" s="3"/>
      <c r="W381" s="3"/>
      <c r="X381" s="3"/>
      <c r="Y381" s="3"/>
      <c r="Z381" s="3"/>
    </row>
    <row r="382" spans="1:26">
      <c r="A382" s="131">
        <v>383</v>
      </c>
      <c r="B382" s="2" t="s">
        <v>2072</v>
      </c>
      <c r="C382" s="164">
        <v>44364</v>
      </c>
      <c r="D382" s="165" t="s">
        <v>2073</v>
      </c>
      <c r="E382" s="58"/>
      <c r="F382" s="3"/>
      <c r="G382" s="3"/>
      <c r="H382" s="3"/>
      <c r="I382" s="3"/>
      <c r="J382" s="3"/>
      <c r="K382" s="3"/>
      <c r="L382" s="3"/>
      <c r="M382" s="3"/>
      <c r="N382" s="3"/>
      <c r="O382" s="3"/>
      <c r="P382" s="3"/>
      <c r="Q382" s="3"/>
      <c r="R382" s="3"/>
      <c r="S382" s="3"/>
      <c r="T382" s="3"/>
      <c r="U382" s="3"/>
      <c r="V382" s="3"/>
      <c r="W382" s="3"/>
      <c r="X382" s="3"/>
      <c r="Y382" s="3"/>
      <c r="Z382" s="3"/>
    </row>
    <row r="383" spans="1:26">
      <c r="A383" s="131">
        <v>384</v>
      </c>
      <c r="B383" s="2" t="s">
        <v>2074</v>
      </c>
      <c r="C383" s="164">
        <v>44371</v>
      </c>
      <c r="D383" s="165" t="s">
        <v>2075</v>
      </c>
      <c r="E383" s="58"/>
      <c r="F383" s="3"/>
      <c r="G383" s="3"/>
      <c r="H383" s="3"/>
      <c r="I383" s="3"/>
      <c r="J383" s="3"/>
      <c r="K383" s="3"/>
      <c r="L383" s="3"/>
      <c r="M383" s="3"/>
      <c r="N383" s="3"/>
      <c r="O383" s="3"/>
      <c r="P383" s="3"/>
      <c r="Q383" s="3"/>
      <c r="R383" s="3"/>
      <c r="S383" s="3"/>
      <c r="T383" s="3"/>
      <c r="U383" s="3"/>
      <c r="V383" s="3"/>
      <c r="W383" s="3"/>
      <c r="X383" s="3"/>
      <c r="Y383" s="3"/>
      <c r="Z383" s="3"/>
    </row>
    <row r="384" spans="1:26">
      <c r="A384" s="131">
        <v>385</v>
      </c>
      <c r="B384" s="2" t="s">
        <v>2076</v>
      </c>
      <c r="C384" s="164">
        <v>44382</v>
      </c>
      <c r="D384" s="165" t="s">
        <v>2077</v>
      </c>
      <c r="E384" s="58"/>
      <c r="F384" s="3"/>
      <c r="G384" s="3"/>
      <c r="H384" s="3"/>
      <c r="I384" s="3"/>
      <c r="J384" s="3"/>
      <c r="K384" s="3"/>
      <c r="L384" s="3"/>
      <c r="M384" s="3"/>
      <c r="N384" s="3"/>
      <c r="O384" s="3"/>
      <c r="P384" s="3"/>
      <c r="Q384" s="3"/>
      <c r="R384" s="3"/>
      <c r="S384" s="3"/>
      <c r="T384" s="3"/>
      <c r="U384" s="3"/>
      <c r="V384" s="3"/>
      <c r="W384" s="3"/>
      <c r="X384" s="3"/>
      <c r="Y384" s="3"/>
      <c r="Z384" s="3"/>
    </row>
    <row r="385" spans="1:26">
      <c r="A385" s="131">
        <v>386</v>
      </c>
      <c r="B385" s="2" t="s">
        <v>2078</v>
      </c>
      <c r="C385" s="164">
        <v>44413</v>
      </c>
      <c r="D385" s="165" t="s">
        <v>2079</v>
      </c>
      <c r="E385" s="58"/>
      <c r="F385" s="3"/>
      <c r="G385" s="3"/>
      <c r="H385" s="3"/>
      <c r="I385" s="3"/>
      <c r="J385" s="3"/>
      <c r="K385" s="3"/>
      <c r="L385" s="3"/>
      <c r="M385" s="3"/>
      <c r="N385" s="3"/>
      <c r="O385" s="3"/>
      <c r="P385" s="3"/>
      <c r="Q385" s="3"/>
      <c r="R385" s="3"/>
      <c r="S385" s="3"/>
      <c r="T385" s="3"/>
      <c r="U385" s="3"/>
      <c r="V385" s="3"/>
      <c r="W385" s="3"/>
      <c r="X385" s="3"/>
      <c r="Y385" s="3"/>
      <c r="Z385" s="3"/>
    </row>
    <row r="386" spans="1:26">
      <c r="A386" s="131">
        <v>387</v>
      </c>
      <c r="B386" s="2" t="s">
        <v>2080</v>
      </c>
      <c r="C386" s="164">
        <v>44417</v>
      </c>
      <c r="D386" s="165" t="s">
        <v>2081</v>
      </c>
      <c r="E386" s="58"/>
      <c r="F386" s="3"/>
      <c r="G386" s="3"/>
      <c r="H386" s="3"/>
      <c r="I386" s="3"/>
      <c r="J386" s="3"/>
      <c r="K386" s="3"/>
      <c r="L386" s="3"/>
      <c r="M386" s="3"/>
      <c r="N386" s="3"/>
      <c r="O386" s="3"/>
      <c r="P386" s="3"/>
      <c r="Q386" s="3"/>
      <c r="R386" s="3"/>
      <c r="S386" s="3"/>
      <c r="T386" s="3"/>
      <c r="U386" s="3"/>
      <c r="V386" s="3"/>
      <c r="W386" s="3"/>
      <c r="X386" s="3"/>
      <c r="Y386" s="3"/>
      <c r="Z386" s="3"/>
    </row>
    <row r="387" spans="1:26">
      <c r="A387" s="131">
        <v>388</v>
      </c>
      <c r="B387" s="2" t="s">
        <v>2082</v>
      </c>
      <c r="C387" s="164">
        <v>44417</v>
      </c>
      <c r="D387" s="165" t="s">
        <v>2083</v>
      </c>
      <c r="E387" s="58"/>
      <c r="F387" s="3"/>
      <c r="G387" s="3"/>
      <c r="H387" s="3"/>
      <c r="I387" s="3"/>
      <c r="J387" s="3"/>
      <c r="K387" s="3"/>
      <c r="L387" s="3"/>
      <c r="M387" s="3"/>
      <c r="N387" s="3"/>
      <c r="O387" s="3"/>
      <c r="P387" s="3"/>
      <c r="Q387" s="3"/>
      <c r="R387" s="3"/>
      <c r="S387" s="3"/>
      <c r="T387" s="3"/>
      <c r="U387" s="3"/>
      <c r="V387" s="3"/>
      <c r="W387" s="3"/>
      <c r="X387" s="3"/>
      <c r="Y387" s="3"/>
      <c r="Z387" s="3"/>
    </row>
    <row r="388" spans="1:26" s="152" customFormat="1">
      <c r="A388" s="131">
        <v>389</v>
      </c>
      <c r="B388" s="2" t="s">
        <v>1364</v>
      </c>
      <c r="C388" s="164">
        <v>44417</v>
      </c>
      <c r="D388" s="165" t="s">
        <v>2084</v>
      </c>
      <c r="E388" s="151"/>
      <c r="F388" s="106"/>
      <c r="G388" s="14"/>
      <c r="H388" s="14"/>
      <c r="I388" s="14"/>
      <c r="J388" s="14"/>
      <c r="K388" s="14"/>
      <c r="L388" s="14"/>
      <c r="M388" s="14"/>
      <c r="N388" s="14"/>
      <c r="O388" s="14"/>
      <c r="P388" s="14"/>
      <c r="Q388" s="14"/>
      <c r="R388" s="14"/>
      <c r="S388" s="14"/>
      <c r="T388" s="14"/>
      <c r="U388" s="14"/>
      <c r="V388" s="14"/>
      <c r="W388" s="14"/>
      <c r="X388" s="14"/>
      <c r="Y388" s="14"/>
      <c r="Z388" s="14"/>
    </row>
    <row r="389" spans="1:26">
      <c r="A389" s="131">
        <v>390</v>
      </c>
      <c r="B389" s="111" t="s">
        <v>2085</v>
      </c>
      <c r="C389" s="164">
        <v>44417</v>
      </c>
      <c r="D389" s="350" t="s">
        <v>2086</v>
      </c>
      <c r="E389" s="50"/>
      <c r="F389" s="3"/>
      <c r="G389" s="3"/>
      <c r="H389" s="3"/>
      <c r="I389" s="3"/>
      <c r="J389" s="3"/>
      <c r="K389" s="3"/>
      <c r="L389" s="3"/>
      <c r="M389" s="3"/>
      <c r="N389" s="3"/>
      <c r="O389" s="3"/>
      <c r="P389" s="3"/>
      <c r="Q389" s="3"/>
      <c r="R389" s="3"/>
      <c r="S389" s="3"/>
      <c r="T389" s="3"/>
      <c r="U389" s="3"/>
      <c r="V389" s="3"/>
      <c r="W389" s="3"/>
      <c r="X389" s="3"/>
      <c r="Y389" s="3"/>
      <c r="Z389" s="3"/>
    </row>
    <row r="390" spans="1:26">
      <c r="A390" s="131">
        <v>391</v>
      </c>
      <c r="B390" s="2" t="s">
        <v>2087</v>
      </c>
      <c r="C390" s="164">
        <v>44419</v>
      </c>
      <c r="D390" s="165" t="s">
        <v>2088</v>
      </c>
      <c r="E390" s="58"/>
      <c r="F390" s="3"/>
      <c r="G390" s="3"/>
      <c r="H390" s="3"/>
      <c r="I390" s="3"/>
      <c r="J390" s="3"/>
      <c r="K390" s="3"/>
      <c r="L390" s="3"/>
      <c r="M390" s="3"/>
      <c r="N390" s="3"/>
      <c r="O390" s="3"/>
      <c r="P390" s="3"/>
      <c r="Q390" s="3"/>
      <c r="R390" s="3"/>
      <c r="S390" s="3"/>
      <c r="T390" s="3"/>
      <c r="U390" s="3"/>
      <c r="V390" s="3"/>
      <c r="W390" s="3"/>
      <c r="X390" s="3"/>
      <c r="Y390" s="3"/>
      <c r="Z390" s="3"/>
    </row>
    <row r="391" spans="1:26">
      <c r="A391" s="131">
        <v>392</v>
      </c>
      <c r="B391" s="2" t="s">
        <v>2089</v>
      </c>
      <c r="C391" s="164">
        <v>44419</v>
      </c>
      <c r="D391" s="165" t="s">
        <v>2090</v>
      </c>
      <c r="E391" s="58"/>
      <c r="F391" s="3"/>
      <c r="G391" s="3"/>
      <c r="H391" s="3"/>
      <c r="I391" s="3"/>
      <c r="J391" s="3"/>
      <c r="K391" s="3"/>
      <c r="L391" s="3"/>
      <c r="M391" s="3"/>
      <c r="N391" s="3"/>
      <c r="O391" s="3"/>
      <c r="P391" s="3"/>
      <c r="Q391" s="3"/>
      <c r="R391" s="3"/>
      <c r="S391" s="3"/>
      <c r="T391" s="3"/>
      <c r="U391" s="3"/>
      <c r="V391" s="3"/>
      <c r="W391" s="3"/>
      <c r="X391" s="3"/>
      <c r="Y391" s="3"/>
      <c r="Z391" s="3"/>
    </row>
    <row r="392" spans="1:26">
      <c r="A392" s="131">
        <v>393</v>
      </c>
      <c r="B392" s="2" t="s">
        <v>2091</v>
      </c>
      <c r="C392" s="164">
        <v>44419</v>
      </c>
      <c r="D392" s="165" t="s">
        <v>2092</v>
      </c>
      <c r="E392" s="58"/>
      <c r="F392" s="3"/>
      <c r="G392" s="3"/>
      <c r="H392" s="3"/>
      <c r="I392" s="3"/>
      <c r="J392" s="3"/>
      <c r="K392" s="3"/>
      <c r="L392" s="3"/>
      <c r="M392" s="3"/>
      <c r="N392" s="3"/>
      <c r="O392" s="3"/>
      <c r="P392" s="3"/>
      <c r="Q392" s="3"/>
      <c r="R392" s="3"/>
      <c r="S392" s="3"/>
      <c r="T392" s="3"/>
      <c r="U392" s="3"/>
      <c r="V392" s="3"/>
      <c r="W392" s="3"/>
      <c r="X392" s="3"/>
      <c r="Y392" s="3"/>
      <c r="Z392" s="3"/>
    </row>
    <row r="393" spans="1:26">
      <c r="A393" s="131">
        <v>394</v>
      </c>
      <c r="B393" s="2" t="s">
        <v>2093</v>
      </c>
      <c r="C393" s="164">
        <v>44424</v>
      </c>
      <c r="D393" s="165" t="s">
        <v>2094</v>
      </c>
      <c r="E393" s="58"/>
      <c r="F393" s="3"/>
      <c r="G393" s="3"/>
      <c r="H393" s="3"/>
      <c r="I393" s="3"/>
      <c r="J393" s="3"/>
      <c r="K393" s="3"/>
      <c r="L393" s="3"/>
      <c r="M393" s="3"/>
      <c r="N393" s="3"/>
      <c r="O393" s="3"/>
      <c r="P393" s="3"/>
      <c r="Q393" s="3"/>
      <c r="R393" s="3"/>
      <c r="S393" s="3"/>
      <c r="T393" s="3"/>
      <c r="U393" s="3"/>
      <c r="V393" s="3"/>
      <c r="W393" s="3"/>
      <c r="X393" s="3"/>
      <c r="Y393" s="3"/>
      <c r="Z393" s="3"/>
    </row>
    <row r="394" spans="1:26">
      <c r="A394" s="131">
        <v>395</v>
      </c>
      <c r="B394" s="2" t="s">
        <v>2095</v>
      </c>
      <c r="C394" s="164">
        <v>44424</v>
      </c>
      <c r="D394" s="165" t="s">
        <v>2096</v>
      </c>
      <c r="E394" s="58"/>
      <c r="F394" s="3"/>
      <c r="G394" s="3"/>
      <c r="H394" s="3"/>
      <c r="I394" s="3"/>
      <c r="J394" s="3"/>
      <c r="K394" s="3"/>
      <c r="L394" s="3"/>
      <c r="M394" s="3"/>
      <c r="N394" s="3"/>
      <c r="O394" s="3"/>
      <c r="P394" s="3"/>
      <c r="Q394" s="3"/>
      <c r="R394" s="3"/>
      <c r="S394" s="3"/>
      <c r="T394" s="3"/>
      <c r="U394" s="3"/>
      <c r="V394" s="3"/>
      <c r="W394" s="3"/>
      <c r="X394" s="3"/>
      <c r="Y394" s="3"/>
      <c r="Z394" s="3"/>
    </row>
    <row r="395" spans="1:26">
      <c r="A395" s="131">
        <v>396</v>
      </c>
      <c r="B395" s="2" t="s">
        <v>2097</v>
      </c>
      <c r="C395" s="164">
        <v>44424</v>
      </c>
      <c r="D395" s="165" t="s">
        <v>2098</v>
      </c>
      <c r="E395" s="58"/>
      <c r="F395" s="3"/>
      <c r="G395" s="3"/>
      <c r="H395" s="3"/>
      <c r="I395" s="3"/>
      <c r="J395" s="3"/>
      <c r="K395" s="3"/>
      <c r="L395" s="3"/>
      <c r="M395" s="3"/>
      <c r="N395" s="3"/>
      <c r="O395" s="3"/>
      <c r="P395" s="3"/>
      <c r="Q395" s="3"/>
      <c r="R395" s="3"/>
      <c r="S395" s="3"/>
      <c r="T395" s="3"/>
      <c r="U395" s="3"/>
      <c r="V395" s="3"/>
      <c r="W395" s="3"/>
      <c r="X395" s="3"/>
      <c r="Y395" s="3"/>
      <c r="Z395" s="3"/>
    </row>
    <row r="396" spans="1:26">
      <c r="A396" s="131">
        <v>397</v>
      </c>
      <c r="B396" s="2" t="s">
        <v>2099</v>
      </c>
      <c r="C396" s="164">
        <v>44427</v>
      </c>
      <c r="D396" s="165" t="s">
        <v>2100</v>
      </c>
      <c r="E396" s="58"/>
      <c r="F396" s="3"/>
      <c r="G396" s="3"/>
      <c r="H396" s="3"/>
      <c r="I396" s="3"/>
      <c r="J396" s="3"/>
      <c r="K396" s="3"/>
      <c r="L396" s="3"/>
      <c r="M396" s="3"/>
      <c r="N396" s="3"/>
      <c r="O396" s="3"/>
      <c r="P396" s="3"/>
      <c r="Q396" s="3"/>
      <c r="R396" s="3"/>
      <c r="S396" s="3"/>
      <c r="T396" s="3"/>
      <c r="U396" s="3"/>
      <c r="V396" s="3"/>
      <c r="W396" s="3"/>
      <c r="X396" s="3"/>
      <c r="Y396" s="3"/>
      <c r="Z396" s="3"/>
    </row>
    <row r="397" spans="1:26">
      <c r="A397" s="131">
        <v>398</v>
      </c>
      <c r="B397" s="2" t="s">
        <v>2101</v>
      </c>
      <c r="C397" s="164">
        <v>44427</v>
      </c>
      <c r="D397" s="165" t="s">
        <v>2102</v>
      </c>
      <c r="E397" s="58"/>
      <c r="F397" s="3"/>
      <c r="G397" s="3"/>
      <c r="H397" s="3"/>
      <c r="I397" s="3"/>
      <c r="J397" s="3"/>
      <c r="K397" s="3"/>
      <c r="L397" s="3"/>
      <c r="M397" s="3"/>
      <c r="N397" s="3"/>
      <c r="O397" s="3"/>
      <c r="P397" s="3"/>
      <c r="Q397" s="3"/>
      <c r="R397" s="3"/>
      <c r="S397" s="3"/>
      <c r="T397" s="3"/>
      <c r="U397" s="3"/>
      <c r="V397" s="3"/>
      <c r="W397" s="3"/>
      <c r="X397" s="3"/>
      <c r="Y397" s="3"/>
      <c r="Z397" s="3"/>
    </row>
    <row r="398" spans="1:26">
      <c r="A398" s="131">
        <v>399</v>
      </c>
      <c r="B398" s="2" t="s">
        <v>2103</v>
      </c>
      <c r="C398" s="164">
        <v>44427</v>
      </c>
      <c r="D398" s="165" t="s">
        <v>2104</v>
      </c>
      <c r="E398" s="58"/>
      <c r="F398" s="3"/>
      <c r="G398" s="3"/>
      <c r="H398" s="3"/>
      <c r="I398" s="3"/>
      <c r="J398" s="3"/>
      <c r="K398" s="3"/>
      <c r="L398" s="3"/>
      <c r="M398" s="3"/>
      <c r="N398" s="3"/>
      <c r="O398" s="3"/>
      <c r="P398" s="3"/>
      <c r="Q398" s="3"/>
      <c r="R398" s="3"/>
      <c r="S398" s="3"/>
      <c r="T398" s="3"/>
      <c r="U398" s="3"/>
      <c r="V398" s="3"/>
      <c r="W398" s="3"/>
      <c r="X398" s="3"/>
      <c r="Y398" s="3"/>
      <c r="Z398" s="3"/>
    </row>
    <row r="399" spans="1:26">
      <c r="A399" s="131">
        <v>400</v>
      </c>
      <c r="B399" s="2" t="s">
        <v>2105</v>
      </c>
      <c r="C399" s="164">
        <v>44428</v>
      </c>
      <c r="D399" s="165" t="s">
        <v>2096</v>
      </c>
      <c r="E399" s="58"/>
      <c r="F399" s="3"/>
      <c r="G399" s="3"/>
      <c r="H399" s="3"/>
      <c r="I399" s="3"/>
      <c r="J399" s="3"/>
      <c r="K399" s="3"/>
      <c r="L399" s="3"/>
      <c r="M399" s="3"/>
      <c r="N399" s="3"/>
      <c r="O399" s="3"/>
      <c r="P399" s="3"/>
      <c r="Q399" s="3"/>
      <c r="R399" s="3"/>
      <c r="S399" s="3"/>
      <c r="T399" s="3"/>
      <c r="U399" s="3"/>
      <c r="V399" s="3"/>
      <c r="W399" s="3"/>
      <c r="X399" s="3"/>
      <c r="Y399" s="3"/>
      <c r="Z399" s="3"/>
    </row>
    <row r="400" spans="1:26">
      <c r="A400" s="131">
        <v>401</v>
      </c>
      <c r="B400" s="2" t="s">
        <v>2106</v>
      </c>
      <c r="C400" s="164">
        <v>44431</v>
      </c>
      <c r="D400" s="165" t="s">
        <v>2098</v>
      </c>
      <c r="E400" s="58"/>
      <c r="F400" s="3"/>
      <c r="G400" s="3"/>
      <c r="H400" s="3"/>
      <c r="I400" s="3"/>
      <c r="J400" s="3"/>
      <c r="K400" s="3"/>
      <c r="L400" s="3"/>
      <c r="M400" s="3"/>
      <c r="N400" s="3"/>
      <c r="O400" s="3"/>
      <c r="P400" s="3"/>
      <c r="Q400" s="3"/>
      <c r="R400" s="3"/>
      <c r="S400" s="3"/>
      <c r="T400" s="3"/>
      <c r="U400" s="3"/>
      <c r="V400" s="3"/>
      <c r="W400" s="3"/>
      <c r="X400" s="3"/>
      <c r="Y400" s="3"/>
      <c r="Z400" s="3"/>
    </row>
    <row r="401" spans="1:26">
      <c r="A401" s="131">
        <v>402</v>
      </c>
      <c r="B401" s="24" t="s">
        <v>2107</v>
      </c>
      <c r="C401" s="164">
        <v>44431</v>
      </c>
      <c r="D401" s="363" t="s">
        <v>2108</v>
      </c>
      <c r="E401" s="58"/>
      <c r="F401" s="3"/>
      <c r="G401" s="3"/>
      <c r="H401" s="3"/>
      <c r="I401" s="3"/>
      <c r="J401" s="3"/>
      <c r="K401" s="3"/>
      <c r="L401" s="3"/>
      <c r="M401" s="3"/>
      <c r="N401" s="3"/>
      <c r="O401" s="3"/>
      <c r="P401" s="3"/>
      <c r="Q401" s="3"/>
      <c r="R401" s="3"/>
      <c r="S401" s="3"/>
      <c r="T401" s="3"/>
      <c r="U401" s="3"/>
      <c r="V401" s="3"/>
      <c r="W401" s="3"/>
      <c r="X401" s="3"/>
      <c r="Y401" s="3"/>
      <c r="Z401" s="3"/>
    </row>
    <row r="402" spans="1:26">
      <c r="A402" s="196">
        <v>403</v>
      </c>
      <c r="B402" s="143" t="s">
        <v>2109</v>
      </c>
      <c r="C402" s="364">
        <v>44433</v>
      </c>
      <c r="D402" s="365" t="s">
        <v>2110</v>
      </c>
      <c r="E402" s="132"/>
      <c r="F402" s="3"/>
      <c r="G402" s="3"/>
      <c r="H402" s="3"/>
      <c r="I402" s="3"/>
      <c r="J402" s="3"/>
      <c r="K402" s="3"/>
      <c r="L402" s="3"/>
      <c r="M402" s="3"/>
      <c r="N402" s="3"/>
      <c r="O402" s="3"/>
      <c r="P402" s="3"/>
      <c r="Q402" s="3"/>
      <c r="R402" s="3"/>
      <c r="S402" s="3"/>
      <c r="T402" s="3"/>
      <c r="U402" s="3"/>
      <c r="V402" s="3"/>
      <c r="W402" s="3"/>
      <c r="X402" s="3"/>
      <c r="Y402" s="3"/>
      <c r="Z402" s="3"/>
    </row>
    <row r="403" spans="1:26">
      <c r="A403" s="196">
        <v>404</v>
      </c>
      <c r="B403" s="143" t="s">
        <v>2111</v>
      </c>
      <c r="C403" s="364">
        <v>44434</v>
      </c>
      <c r="D403" s="365" t="s">
        <v>2112</v>
      </c>
      <c r="E403" s="132"/>
      <c r="F403" s="3"/>
      <c r="G403" s="3"/>
      <c r="H403" s="3"/>
      <c r="I403" s="3"/>
      <c r="J403" s="3"/>
      <c r="K403" s="3"/>
      <c r="L403" s="3"/>
      <c r="M403" s="3"/>
      <c r="N403" s="3"/>
      <c r="O403" s="3"/>
      <c r="P403" s="3"/>
      <c r="Q403" s="3"/>
      <c r="R403" s="3"/>
      <c r="S403" s="3"/>
      <c r="T403" s="3"/>
      <c r="U403" s="3"/>
      <c r="V403" s="3"/>
      <c r="W403" s="3"/>
      <c r="X403" s="3"/>
      <c r="Y403" s="3"/>
      <c r="Z403" s="3"/>
    </row>
    <row r="404" spans="1:26">
      <c r="A404" s="196">
        <v>405</v>
      </c>
      <c r="B404" s="143" t="s">
        <v>2113</v>
      </c>
      <c r="C404" s="364">
        <v>44434</v>
      </c>
      <c r="D404" s="365" t="s">
        <v>2114</v>
      </c>
      <c r="E404" s="132"/>
      <c r="F404" s="3"/>
      <c r="G404" s="3"/>
      <c r="H404" s="3"/>
      <c r="I404" s="3"/>
      <c r="J404" s="3"/>
      <c r="K404" s="3"/>
      <c r="L404" s="3"/>
      <c r="M404" s="3"/>
      <c r="N404" s="3"/>
      <c r="O404" s="3"/>
      <c r="P404" s="3"/>
      <c r="Q404" s="3"/>
      <c r="R404" s="3"/>
      <c r="S404" s="3"/>
      <c r="T404" s="3"/>
      <c r="U404" s="3"/>
      <c r="V404" s="3"/>
      <c r="W404" s="3"/>
      <c r="X404" s="3"/>
      <c r="Y404" s="3"/>
      <c r="Z404" s="3"/>
    </row>
    <row r="405" spans="1:26">
      <c r="A405" s="131">
        <v>406</v>
      </c>
      <c r="B405" s="111" t="s">
        <v>2115</v>
      </c>
      <c r="C405" s="356">
        <v>44434</v>
      </c>
      <c r="D405" s="365" t="s">
        <v>2116</v>
      </c>
      <c r="E405" s="132"/>
      <c r="F405" s="3"/>
      <c r="G405" s="3"/>
      <c r="H405" s="3"/>
      <c r="I405" s="3"/>
      <c r="J405" s="3"/>
      <c r="K405" s="3"/>
      <c r="L405" s="3"/>
      <c r="M405" s="3"/>
      <c r="N405" s="3"/>
      <c r="O405" s="3"/>
      <c r="P405" s="3"/>
      <c r="Q405" s="3"/>
      <c r="R405" s="3"/>
      <c r="S405" s="3"/>
      <c r="T405" s="3"/>
      <c r="U405" s="3"/>
      <c r="V405" s="3"/>
      <c r="W405" s="3"/>
      <c r="X405" s="3"/>
      <c r="Y405" s="3"/>
      <c r="Z405" s="3"/>
    </row>
    <row r="406" spans="1:26">
      <c r="A406" s="131">
        <v>407</v>
      </c>
      <c r="B406" s="2" t="s">
        <v>1362</v>
      </c>
      <c r="C406" s="164">
        <v>44441</v>
      </c>
      <c r="D406" s="366" t="s">
        <v>2079</v>
      </c>
      <c r="E406" s="58"/>
      <c r="F406" s="3"/>
      <c r="G406" s="3"/>
      <c r="H406" s="3"/>
      <c r="I406" s="3"/>
      <c r="J406" s="3"/>
      <c r="K406" s="3"/>
      <c r="L406" s="3"/>
      <c r="M406" s="3"/>
      <c r="N406" s="3"/>
      <c r="O406" s="3"/>
      <c r="P406" s="3"/>
      <c r="Q406" s="3"/>
      <c r="R406" s="3"/>
      <c r="S406" s="3"/>
      <c r="T406" s="3"/>
      <c r="U406" s="3"/>
      <c r="V406" s="3"/>
      <c r="W406" s="3"/>
      <c r="X406" s="3"/>
      <c r="Y406" s="3"/>
      <c r="Z406" s="3"/>
    </row>
    <row r="407" spans="1:26" ht="28.8">
      <c r="A407" s="131">
        <v>408</v>
      </c>
      <c r="B407" s="2" t="s">
        <v>2117</v>
      </c>
      <c r="C407" s="164">
        <v>44442</v>
      </c>
      <c r="D407" s="165" t="s">
        <v>2118</v>
      </c>
      <c r="E407" s="58"/>
      <c r="F407" s="3"/>
      <c r="G407" s="3"/>
      <c r="H407" s="3"/>
      <c r="I407" s="3"/>
      <c r="J407" s="3"/>
      <c r="K407" s="3"/>
      <c r="L407" s="3"/>
      <c r="M407" s="3"/>
      <c r="N407" s="3"/>
      <c r="O407" s="3"/>
      <c r="P407" s="3"/>
      <c r="Q407" s="3"/>
      <c r="R407" s="3"/>
      <c r="S407" s="3"/>
      <c r="T407" s="3"/>
      <c r="U407" s="3"/>
      <c r="V407" s="3"/>
      <c r="W407" s="3"/>
      <c r="X407" s="3"/>
      <c r="Y407" s="3"/>
      <c r="Z407" s="3"/>
    </row>
    <row r="408" spans="1:26">
      <c r="A408" s="131">
        <v>409</v>
      </c>
      <c r="B408" s="2" t="s">
        <v>2119</v>
      </c>
      <c r="C408" s="164">
        <v>44442</v>
      </c>
      <c r="D408" s="165" t="s">
        <v>2120</v>
      </c>
      <c r="E408" s="58"/>
      <c r="F408" s="3"/>
      <c r="G408" s="3"/>
      <c r="H408" s="3"/>
      <c r="I408" s="3"/>
      <c r="J408" s="3"/>
      <c r="K408" s="3"/>
      <c r="L408" s="3"/>
      <c r="M408" s="3"/>
      <c r="N408" s="3"/>
      <c r="O408" s="3"/>
      <c r="P408" s="3"/>
      <c r="Q408" s="3"/>
      <c r="R408" s="3"/>
      <c r="S408" s="3"/>
      <c r="T408" s="3"/>
      <c r="U408" s="3"/>
      <c r="V408" s="3"/>
      <c r="W408" s="3"/>
      <c r="X408" s="3"/>
      <c r="Y408" s="3"/>
      <c r="Z408" s="3"/>
    </row>
    <row r="409" spans="1:26" s="188" customFormat="1" ht="15">
      <c r="A409" s="360">
        <v>410</v>
      </c>
      <c r="B409" s="192" t="s">
        <v>1460</v>
      </c>
      <c r="C409" s="333">
        <v>44464</v>
      </c>
      <c r="D409" s="335" t="s">
        <v>4880</v>
      </c>
      <c r="E409" s="186"/>
      <c r="F409" s="3"/>
      <c r="G409" s="187"/>
      <c r="H409" s="187"/>
      <c r="I409" s="187"/>
      <c r="J409" s="187"/>
      <c r="K409" s="187"/>
      <c r="L409" s="187"/>
      <c r="M409" s="187"/>
      <c r="N409" s="187"/>
      <c r="O409" s="187"/>
      <c r="P409" s="187"/>
      <c r="Q409" s="187"/>
      <c r="R409" s="187"/>
      <c r="S409" s="187"/>
      <c r="T409" s="187"/>
      <c r="U409" s="187"/>
      <c r="V409" s="187"/>
      <c r="W409" s="187"/>
      <c r="X409" s="187"/>
      <c r="Y409" s="187"/>
      <c r="Z409" s="187"/>
    </row>
    <row r="410" spans="1:26">
      <c r="A410" s="196">
        <v>411</v>
      </c>
      <c r="B410" s="117" t="s">
        <v>2121</v>
      </c>
      <c r="C410" s="357">
        <v>44494</v>
      </c>
      <c r="D410" s="367" t="s">
        <v>21</v>
      </c>
      <c r="E410" s="63"/>
      <c r="F410" s="3"/>
      <c r="G410" s="3"/>
      <c r="H410" s="3"/>
      <c r="I410" s="3"/>
      <c r="J410" s="3"/>
      <c r="K410" s="3"/>
      <c r="L410" s="3"/>
      <c r="M410" s="3"/>
      <c r="N410" s="3"/>
      <c r="O410" s="3"/>
      <c r="P410" s="3"/>
      <c r="Q410" s="3"/>
      <c r="R410" s="3"/>
      <c r="S410" s="3"/>
      <c r="T410" s="3"/>
      <c r="U410" s="3"/>
      <c r="V410" s="3"/>
      <c r="W410" s="3"/>
      <c r="X410" s="3"/>
      <c r="Y410" s="3"/>
      <c r="Z410" s="3"/>
    </row>
    <row r="411" spans="1:26">
      <c r="A411" s="196">
        <v>412</v>
      </c>
      <c r="B411" s="117" t="s">
        <v>2122</v>
      </c>
      <c r="C411" s="357">
        <v>44498</v>
      </c>
      <c r="D411" s="128" t="s">
        <v>2123</v>
      </c>
      <c r="E411" s="64"/>
      <c r="F411" s="3"/>
      <c r="G411" s="3"/>
      <c r="H411" s="3"/>
      <c r="I411" s="3"/>
      <c r="J411" s="3"/>
      <c r="K411" s="3"/>
      <c r="L411" s="3"/>
      <c r="M411" s="3"/>
      <c r="N411" s="3"/>
      <c r="O411" s="3"/>
      <c r="P411" s="3"/>
      <c r="Q411" s="3"/>
      <c r="R411" s="3"/>
      <c r="S411" s="3"/>
      <c r="T411" s="3"/>
      <c r="U411" s="3"/>
      <c r="V411" s="3"/>
      <c r="W411" s="3"/>
      <c r="X411" s="3"/>
      <c r="Y411" s="3"/>
      <c r="Z411" s="3"/>
    </row>
    <row r="412" spans="1:26" ht="28.8">
      <c r="A412" s="196">
        <v>413</v>
      </c>
      <c r="B412" s="117" t="s">
        <v>2124</v>
      </c>
      <c r="C412" s="357">
        <v>44511</v>
      </c>
      <c r="D412" s="368" t="s">
        <v>21</v>
      </c>
      <c r="E412" s="63"/>
      <c r="F412" s="3"/>
      <c r="G412" s="3"/>
      <c r="H412" s="3"/>
      <c r="I412" s="3"/>
      <c r="J412" s="3"/>
      <c r="K412" s="3"/>
      <c r="L412" s="3"/>
      <c r="M412" s="3"/>
      <c r="N412" s="3"/>
      <c r="O412" s="3"/>
      <c r="P412" s="3"/>
      <c r="Q412" s="3"/>
      <c r="R412" s="3"/>
      <c r="S412" s="3"/>
      <c r="T412" s="3"/>
      <c r="U412" s="3"/>
      <c r="V412" s="3"/>
      <c r="W412" s="3"/>
      <c r="X412" s="3"/>
      <c r="Y412" s="3"/>
      <c r="Z412" s="3"/>
    </row>
    <row r="413" spans="1:26">
      <c r="A413" s="131">
        <v>414</v>
      </c>
      <c r="B413" s="115" t="s">
        <v>2125</v>
      </c>
      <c r="C413" s="164">
        <v>44518</v>
      </c>
      <c r="D413" s="128" t="s">
        <v>2126</v>
      </c>
      <c r="E413" s="64"/>
      <c r="F413" s="3"/>
      <c r="G413" s="3"/>
      <c r="H413" s="3"/>
      <c r="I413" s="3"/>
      <c r="J413" s="3"/>
      <c r="K413" s="3"/>
      <c r="L413" s="3"/>
      <c r="M413" s="3"/>
      <c r="N413" s="3"/>
      <c r="O413" s="3"/>
      <c r="P413" s="3"/>
      <c r="Q413" s="3"/>
      <c r="R413" s="3"/>
      <c r="S413" s="3"/>
      <c r="T413" s="3"/>
      <c r="U413" s="3"/>
      <c r="V413" s="3"/>
      <c r="W413" s="3"/>
      <c r="X413" s="3"/>
      <c r="Y413" s="3"/>
      <c r="Z413" s="3"/>
    </row>
    <row r="414" spans="1:26">
      <c r="A414" s="131">
        <v>415</v>
      </c>
      <c r="B414" s="116" t="s">
        <v>2127</v>
      </c>
      <c r="C414" s="164">
        <v>44537</v>
      </c>
      <c r="D414" s="276" t="s">
        <v>2128</v>
      </c>
      <c r="E414" s="65"/>
      <c r="F414" s="3"/>
      <c r="G414" s="3"/>
      <c r="H414" s="3"/>
      <c r="I414" s="3"/>
      <c r="J414" s="3"/>
      <c r="K414" s="3"/>
      <c r="L414" s="3"/>
      <c r="M414" s="3"/>
      <c r="N414" s="3"/>
      <c r="O414" s="3"/>
      <c r="P414" s="3"/>
      <c r="Q414" s="3"/>
      <c r="R414" s="3"/>
      <c r="S414" s="3"/>
      <c r="T414" s="3"/>
      <c r="U414" s="3"/>
      <c r="V414" s="3"/>
      <c r="W414" s="3"/>
      <c r="X414" s="3"/>
      <c r="Y414" s="3"/>
      <c r="Z414" s="3"/>
    </row>
    <row r="415" spans="1:26" s="110" customFormat="1">
      <c r="A415" s="196">
        <v>416</v>
      </c>
      <c r="B415" s="117" t="s">
        <v>2129</v>
      </c>
      <c r="C415" s="357">
        <v>44544</v>
      </c>
      <c r="D415" s="369" t="s">
        <v>2130</v>
      </c>
      <c r="E415" s="66"/>
      <c r="F415" s="3"/>
      <c r="G415" s="3"/>
      <c r="H415" s="3"/>
      <c r="I415" s="3"/>
      <c r="J415" s="3"/>
      <c r="K415" s="3"/>
      <c r="L415" s="3"/>
      <c r="M415" s="3"/>
      <c r="N415" s="3"/>
      <c r="O415" s="3"/>
      <c r="P415" s="3"/>
      <c r="Q415" s="3"/>
      <c r="R415" s="3"/>
      <c r="S415" s="3"/>
      <c r="T415" s="3"/>
      <c r="U415" s="3"/>
      <c r="V415" s="3"/>
      <c r="W415" s="3"/>
      <c r="X415" s="3"/>
      <c r="Y415" s="3"/>
      <c r="Z415" s="3"/>
    </row>
    <row r="416" spans="1:26" s="110" customFormat="1">
      <c r="A416" s="131">
        <v>417</v>
      </c>
      <c r="B416" s="118" t="s">
        <v>2131</v>
      </c>
      <c r="C416" s="357">
        <v>44564</v>
      </c>
      <c r="D416" s="74" t="s">
        <v>21</v>
      </c>
      <c r="E416" s="36"/>
      <c r="F416" s="3"/>
      <c r="G416" s="3"/>
      <c r="H416" s="3"/>
      <c r="I416" s="3"/>
      <c r="J416" s="3"/>
      <c r="K416" s="3"/>
      <c r="L416" s="3"/>
      <c r="M416" s="3"/>
      <c r="N416" s="3"/>
      <c r="O416" s="3"/>
      <c r="P416" s="3"/>
      <c r="Q416" s="3"/>
      <c r="R416" s="3"/>
      <c r="S416" s="3"/>
      <c r="T416" s="3"/>
      <c r="U416" s="3"/>
      <c r="V416" s="3"/>
      <c r="W416" s="3"/>
      <c r="X416" s="3"/>
      <c r="Y416" s="3"/>
      <c r="Z416" s="3"/>
    </row>
    <row r="417" spans="1:26" s="110" customFormat="1">
      <c r="A417" s="131">
        <v>418</v>
      </c>
      <c r="B417" s="74" t="s">
        <v>2132</v>
      </c>
      <c r="C417" s="357">
        <v>44581</v>
      </c>
      <c r="D417" s="74" t="s">
        <v>2133</v>
      </c>
      <c r="E417" s="36"/>
      <c r="F417" s="3"/>
      <c r="G417" s="3"/>
      <c r="H417" s="3"/>
      <c r="I417" s="3"/>
      <c r="J417" s="3"/>
      <c r="K417" s="3"/>
      <c r="L417" s="3"/>
      <c r="M417" s="3"/>
      <c r="N417" s="3"/>
      <c r="O417" s="3"/>
      <c r="P417" s="3"/>
      <c r="Q417" s="3"/>
      <c r="R417" s="3"/>
      <c r="S417" s="3"/>
      <c r="T417" s="3"/>
      <c r="U417" s="3"/>
      <c r="V417" s="3"/>
      <c r="W417" s="3"/>
      <c r="X417" s="3"/>
      <c r="Y417" s="3"/>
      <c r="Z417" s="3"/>
    </row>
    <row r="418" spans="1:26" s="110" customFormat="1">
      <c r="A418" s="131">
        <v>419</v>
      </c>
      <c r="B418" s="74" t="s">
        <v>2134</v>
      </c>
      <c r="C418" s="357">
        <v>44582</v>
      </c>
      <c r="D418" s="74" t="s">
        <v>2135</v>
      </c>
      <c r="E418" s="36"/>
      <c r="F418" s="3"/>
      <c r="G418" s="3"/>
      <c r="H418" s="3"/>
      <c r="I418" s="3"/>
      <c r="J418" s="3"/>
      <c r="K418" s="3"/>
      <c r="L418" s="3"/>
      <c r="M418" s="3"/>
      <c r="N418" s="3"/>
      <c r="O418" s="3"/>
      <c r="P418" s="3"/>
      <c r="Q418" s="3"/>
      <c r="R418" s="3"/>
      <c r="S418" s="3"/>
      <c r="T418" s="3"/>
      <c r="U418" s="3"/>
      <c r="V418" s="3"/>
      <c r="W418" s="3"/>
      <c r="X418" s="3"/>
      <c r="Y418" s="3"/>
      <c r="Z418" s="3"/>
    </row>
    <row r="419" spans="1:26" s="110" customFormat="1">
      <c r="A419" s="131">
        <v>420</v>
      </c>
      <c r="B419" s="74" t="s">
        <v>2136</v>
      </c>
      <c r="C419" s="357">
        <v>44585</v>
      </c>
      <c r="D419" s="74" t="s">
        <v>2137</v>
      </c>
      <c r="E419" s="36"/>
      <c r="F419" s="3"/>
      <c r="G419" s="3"/>
      <c r="H419" s="3"/>
      <c r="I419" s="3"/>
      <c r="J419" s="3"/>
      <c r="K419" s="3"/>
      <c r="L419" s="3"/>
      <c r="M419" s="3"/>
      <c r="N419" s="3"/>
      <c r="O419" s="3"/>
      <c r="P419" s="3"/>
      <c r="Q419" s="3"/>
      <c r="R419" s="3"/>
      <c r="S419" s="3"/>
      <c r="T419" s="3"/>
      <c r="U419" s="3"/>
      <c r="V419" s="3"/>
      <c r="W419" s="3"/>
      <c r="X419" s="3"/>
      <c r="Y419" s="3"/>
      <c r="Z419" s="3"/>
    </row>
    <row r="420" spans="1:26" s="110" customFormat="1">
      <c r="A420" s="131">
        <v>421</v>
      </c>
      <c r="B420" s="74" t="s">
        <v>2138</v>
      </c>
      <c r="C420" s="357">
        <v>44586</v>
      </c>
      <c r="D420" s="74" t="s">
        <v>2139</v>
      </c>
      <c r="E420" s="36"/>
      <c r="F420" s="3"/>
      <c r="G420" s="3"/>
      <c r="H420" s="3"/>
      <c r="I420" s="3"/>
      <c r="J420" s="3"/>
      <c r="K420" s="3"/>
      <c r="L420" s="3"/>
      <c r="M420" s="3"/>
      <c r="N420" s="3"/>
      <c r="O420" s="3"/>
      <c r="P420" s="3"/>
      <c r="Q420" s="3"/>
      <c r="R420" s="3"/>
      <c r="S420" s="3"/>
      <c r="T420" s="3"/>
      <c r="U420" s="3"/>
      <c r="V420" s="3"/>
      <c r="W420" s="3"/>
      <c r="X420" s="3"/>
      <c r="Y420" s="3"/>
      <c r="Z420" s="3"/>
    </row>
    <row r="421" spans="1:26" s="110" customFormat="1">
      <c r="A421" s="131">
        <v>422</v>
      </c>
      <c r="B421" s="74" t="s">
        <v>2140</v>
      </c>
      <c r="C421" s="357">
        <v>44588</v>
      </c>
      <c r="D421" s="74" t="s">
        <v>2139</v>
      </c>
      <c r="E421" s="36"/>
      <c r="F421" s="3"/>
      <c r="G421" s="3"/>
      <c r="H421" s="3"/>
      <c r="I421" s="3"/>
      <c r="J421" s="3"/>
      <c r="K421" s="3"/>
      <c r="L421" s="3"/>
      <c r="M421" s="3"/>
      <c r="N421" s="3"/>
      <c r="O421" s="3"/>
      <c r="P421" s="3"/>
      <c r="Q421" s="3"/>
      <c r="R421" s="3"/>
      <c r="S421" s="3"/>
      <c r="T421" s="3"/>
      <c r="U421" s="3"/>
      <c r="V421" s="3"/>
      <c r="W421" s="3"/>
      <c r="X421" s="3"/>
      <c r="Y421" s="3"/>
      <c r="Z421" s="3"/>
    </row>
    <row r="422" spans="1:26" s="110" customFormat="1">
      <c r="A422" s="131">
        <v>423</v>
      </c>
      <c r="B422" s="74" t="s">
        <v>2141</v>
      </c>
      <c r="C422" s="357">
        <v>44593</v>
      </c>
      <c r="D422" s="74" t="s">
        <v>2142</v>
      </c>
      <c r="E422" s="36"/>
      <c r="F422" s="3"/>
      <c r="G422" s="3"/>
      <c r="H422" s="3"/>
      <c r="I422" s="3"/>
      <c r="J422" s="3"/>
      <c r="K422" s="3"/>
      <c r="L422" s="3"/>
      <c r="M422" s="3"/>
      <c r="N422" s="3"/>
      <c r="O422" s="3"/>
      <c r="P422" s="3"/>
      <c r="Q422" s="3"/>
      <c r="R422" s="3"/>
      <c r="S422" s="3"/>
      <c r="T422" s="3"/>
      <c r="U422" s="3"/>
      <c r="V422" s="3"/>
      <c r="W422" s="3"/>
      <c r="X422" s="3"/>
      <c r="Y422" s="3"/>
      <c r="Z422" s="3"/>
    </row>
    <row r="423" spans="1:26" s="110" customFormat="1">
      <c r="A423" s="131">
        <v>424</v>
      </c>
      <c r="B423" s="74" t="s">
        <v>2143</v>
      </c>
      <c r="C423" s="357">
        <v>44594</v>
      </c>
      <c r="D423" s="74" t="s">
        <v>2144</v>
      </c>
      <c r="E423" s="36"/>
      <c r="F423" s="3"/>
      <c r="G423" s="3"/>
      <c r="H423" s="3"/>
      <c r="I423" s="3"/>
      <c r="J423" s="3"/>
      <c r="K423" s="3"/>
      <c r="L423" s="3"/>
      <c r="M423" s="3"/>
      <c r="N423" s="3"/>
      <c r="O423" s="3"/>
      <c r="P423" s="3"/>
      <c r="Q423" s="3"/>
      <c r="R423" s="3"/>
      <c r="S423" s="3"/>
      <c r="T423" s="3"/>
      <c r="U423" s="3"/>
      <c r="V423" s="3"/>
      <c r="W423" s="3"/>
      <c r="X423" s="3"/>
      <c r="Y423" s="3"/>
      <c r="Z423" s="3"/>
    </row>
    <row r="424" spans="1:26" s="110" customFormat="1">
      <c r="A424" s="131">
        <v>425</v>
      </c>
      <c r="B424" s="74" t="s">
        <v>2145</v>
      </c>
      <c r="C424" s="357">
        <v>44595</v>
      </c>
      <c r="D424" s="74" t="s">
        <v>2146</v>
      </c>
      <c r="E424" s="36"/>
      <c r="F424" s="3"/>
      <c r="G424" s="3"/>
      <c r="H424" s="3"/>
      <c r="I424" s="3"/>
      <c r="J424" s="3"/>
      <c r="K424" s="3"/>
      <c r="L424" s="3"/>
      <c r="M424" s="3"/>
      <c r="N424" s="3"/>
      <c r="O424" s="3"/>
      <c r="P424" s="3"/>
      <c r="Q424" s="3"/>
      <c r="R424" s="3"/>
      <c r="S424" s="3"/>
      <c r="T424" s="3"/>
      <c r="U424" s="3"/>
      <c r="V424" s="3"/>
      <c r="W424" s="3"/>
      <c r="X424" s="3"/>
      <c r="Y424" s="3"/>
      <c r="Z424" s="3"/>
    </row>
    <row r="425" spans="1:26" s="110" customFormat="1" ht="28.8">
      <c r="A425" s="131">
        <v>426</v>
      </c>
      <c r="B425" s="74" t="s">
        <v>2147</v>
      </c>
      <c r="C425" s="357">
        <v>44595</v>
      </c>
      <c r="D425" s="74" t="s">
        <v>2148</v>
      </c>
      <c r="E425" s="36"/>
      <c r="F425" s="3"/>
      <c r="G425" s="3"/>
      <c r="H425" s="3"/>
      <c r="I425" s="3"/>
      <c r="J425" s="3"/>
      <c r="K425" s="3"/>
      <c r="L425" s="3"/>
      <c r="M425" s="3"/>
      <c r="N425" s="3"/>
      <c r="O425" s="3"/>
      <c r="P425" s="3"/>
      <c r="Q425" s="3"/>
      <c r="R425" s="3"/>
      <c r="S425" s="3"/>
      <c r="T425" s="3"/>
      <c r="U425" s="3"/>
      <c r="V425" s="3"/>
      <c r="W425" s="3"/>
      <c r="X425" s="3"/>
      <c r="Y425" s="3"/>
      <c r="Z425" s="3"/>
    </row>
    <row r="426" spans="1:26" s="110" customFormat="1">
      <c r="A426" s="131">
        <v>428</v>
      </c>
      <c r="B426" s="74" t="s">
        <v>2149</v>
      </c>
      <c r="C426" s="357">
        <v>44606</v>
      </c>
      <c r="D426" s="74" t="s">
        <v>2150</v>
      </c>
      <c r="E426" s="36"/>
      <c r="F426" s="3"/>
      <c r="G426" s="3"/>
      <c r="H426" s="3"/>
      <c r="I426" s="3"/>
      <c r="J426" s="3"/>
      <c r="K426" s="3"/>
      <c r="L426" s="3"/>
      <c r="M426" s="3"/>
      <c r="N426" s="3"/>
      <c r="O426" s="3"/>
      <c r="P426" s="3"/>
      <c r="Q426" s="3"/>
      <c r="R426" s="3"/>
      <c r="S426" s="3"/>
      <c r="T426" s="3"/>
      <c r="U426" s="3"/>
      <c r="V426" s="3"/>
      <c r="W426" s="3"/>
      <c r="X426" s="3"/>
      <c r="Y426" s="3"/>
      <c r="Z426" s="3"/>
    </row>
    <row r="427" spans="1:26" s="110" customFormat="1">
      <c r="A427" s="131">
        <v>429</v>
      </c>
      <c r="B427" s="74" t="s">
        <v>2151</v>
      </c>
      <c r="C427" s="357">
        <v>44607</v>
      </c>
      <c r="D427" s="74" t="s">
        <v>2150</v>
      </c>
      <c r="E427" s="36"/>
      <c r="F427" s="3"/>
      <c r="G427" s="3"/>
      <c r="H427" s="3"/>
      <c r="I427" s="3"/>
      <c r="J427" s="3"/>
      <c r="K427" s="3"/>
      <c r="L427" s="3"/>
      <c r="M427" s="3"/>
      <c r="N427" s="3"/>
      <c r="O427" s="3"/>
      <c r="P427" s="3"/>
      <c r="Q427" s="3"/>
      <c r="R427" s="3"/>
      <c r="S427" s="3"/>
      <c r="T427" s="3"/>
      <c r="U427" s="3"/>
      <c r="V427" s="3"/>
      <c r="W427" s="3"/>
      <c r="X427" s="3"/>
      <c r="Y427" s="3"/>
      <c r="Z427" s="3"/>
    </row>
    <row r="428" spans="1:26" s="110" customFormat="1">
      <c r="A428" s="131">
        <v>430</v>
      </c>
      <c r="B428" s="74" t="s">
        <v>2152</v>
      </c>
      <c r="C428" s="357">
        <v>44608</v>
      </c>
      <c r="D428" s="74" t="s">
        <v>2153</v>
      </c>
      <c r="E428" s="36"/>
      <c r="F428" s="3"/>
      <c r="G428" s="3"/>
      <c r="H428" s="3"/>
      <c r="I428" s="3"/>
      <c r="J428" s="3"/>
      <c r="K428" s="3"/>
      <c r="L428" s="3"/>
      <c r="M428" s="3"/>
      <c r="N428" s="3"/>
      <c r="O428" s="3"/>
      <c r="P428" s="3"/>
      <c r="Q428" s="3"/>
      <c r="R428" s="3"/>
      <c r="S428" s="3"/>
      <c r="T428" s="3"/>
      <c r="U428" s="3"/>
      <c r="V428" s="3"/>
      <c r="W428" s="3"/>
      <c r="X428" s="3"/>
      <c r="Y428" s="3"/>
      <c r="Z428" s="3"/>
    </row>
    <row r="429" spans="1:26" s="110" customFormat="1">
      <c r="A429" s="131">
        <v>431</v>
      </c>
      <c r="B429" s="74" t="s">
        <v>2154</v>
      </c>
      <c r="C429" s="357">
        <v>44609</v>
      </c>
      <c r="D429" s="74" t="s">
        <v>2155</v>
      </c>
      <c r="E429" s="36"/>
      <c r="F429" s="3"/>
      <c r="G429" s="3"/>
      <c r="H429" s="3"/>
      <c r="I429" s="3"/>
      <c r="J429" s="3"/>
      <c r="K429" s="3"/>
      <c r="L429" s="3"/>
      <c r="M429" s="3"/>
      <c r="N429" s="3"/>
      <c r="O429" s="3"/>
      <c r="P429" s="3"/>
      <c r="Q429" s="3"/>
      <c r="R429" s="3"/>
      <c r="S429" s="3"/>
      <c r="T429" s="3"/>
      <c r="U429" s="3"/>
      <c r="V429" s="3"/>
      <c r="W429" s="3"/>
      <c r="X429" s="3"/>
      <c r="Y429" s="3"/>
      <c r="Z429" s="3"/>
    </row>
    <row r="430" spans="1:26">
      <c r="A430" s="131">
        <v>432</v>
      </c>
      <c r="B430" s="74" t="s">
        <v>2156</v>
      </c>
      <c r="C430" s="357">
        <v>44621</v>
      </c>
      <c r="D430" s="74" t="s">
        <v>2157</v>
      </c>
      <c r="E430" s="36"/>
      <c r="F430" s="3"/>
      <c r="G430" s="3"/>
      <c r="H430" s="3"/>
      <c r="I430" s="3"/>
      <c r="J430" s="3"/>
      <c r="K430" s="3"/>
      <c r="L430" s="3"/>
      <c r="M430" s="3"/>
      <c r="N430" s="3"/>
      <c r="O430" s="3"/>
      <c r="P430" s="3"/>
      <c r="Q430" s="3"/>
      <c r="R430" s="3"/>
      <c r="S430" s="3"/>
      <c r="T430" s="3"/>
      <c r="U430" s="3"/>
      <c r="V430" s="3"/>
      <c r="W430" s="3"/>
      <c r="X430" s="3"/>
      <c r="Y430" s="3"/>
      <c r="Z430" s="3"/>
    </row>
    <row r="431" spans="1:26">
      <c r="A431" s="131">
        <v>433</v>
      </c>
      <c r="B431" s="74" t="s">
        <v>2158</v>
      </c>
      <c r="C431" s="357">
        <v>44628</v>
      </c>
      <c r="D431" s="74" t="s">
        <v>21</v>
      </c>
      <c r="E431" s="36"/>
      <c r="F431" s="3"/>
      <c r="G431" s="3"/>
      <c r="H431" s="3"/>
      <c r="I431" s="3"/>
      <c r="J431" s="3"/>
      <c r="K431" s="3"/>
      <c r="L431" s="3"/>
      <c r="M431" s="3"/>
      <c r="N431" s="3"/>
      <c r="O431" s="3"/>
      <c r="P431" s="3"/>
      <c r="Q431" s="3"/>
      <c r="R431" s="3"/>
      <c r="S431" s="3"/>
      <c r="T431" s="3"/>
      <c r="U431" s="3"/>
      <c r="V431" s="3"/>
      <c r="W431" s="3"/>
      <c r="X431" s="3"/>
      <c r="Y431" s="3"/>
      <c r="Z431" s="3"/>
    </row>
    <row r="432" spans="1:26">
      <c r="A432" s="131">
        <v>434</v>
      </c>
      <c r="B432" s="74" t="s">
        <v>1360</v>
      </c>
      <c r="C432" s="357">
        <v>44629</v>
      </c>
      <c r="D432" s="74" t="s">
        <v>1361</v>
      </c>
      <c r="E432" s="36"/>
      <c r="F432" s="3"/>
      <c r="G432" s="3"/>
      <c r="H432" s="3"/>
      <c r="I432" s="3"/>
      <c r="J432" s="3"/>
      <c r="K432" s="3"/>
      <c r="L432" s="3"/>
      <c r="M432" s="3"/>
      <c r="N432" s="3"/>
      <c r="O432" s="3"/>
      <c r="P432" s="3"/>
      <c r="Q432" s="3"/>
      <c r="R432" s="3"/>
      <c r="S432" s="3"/>
      <c r="T432" s="3"/>
      <c r="U432" s="3"/>
      <c r="V432" s="3"/>
      <c r="W432" s="3"/>
      <c r="X432" s="3"/>
      <c r="Y432" s="3"/>
      <c r="Z432" s="3"/>
    </row>
    <row r="433" spans="1:26">
      <c r="A433" s="131">
        <v>435</v>
      </c>
      <c r="B433" s="74" t="s">
        <v>2159</v>
      </c>
      <c r="C433" s="357">
        <v>44629</v>
      </c>
      <c r="D433" s="74" t="s">
        <v>2160</v>
      </c>
      <c r="E433" s="36"/>
      <c r="F433" s="3"/>
      <c r="G433" s="3"/>
      <c r="H433" s="3"/>
      <c r="I433" s="3"/>
      <c r="J433" s="3"/>
      <c r="K433" s="3"/>
      <c r="L433" s="3"/>
      <c r="M433" s="3"/>
      <c r="N433" s="3"/>
      <c r="O433" s="3"/>
      <c r="P433" s="3"/>
      <c r="Q433" s="3"/>
      <c r="R433" s="3"/>
      <c r="S433" s="3"/>
      <c r="T433" s="3"/>
      <c r="U433" s="3"/>
      <c r="V433" s="3"/>
      <c r="W433" s="3"/>
      <c r="X433" s="3"/>
      <c r="Y433" s="3"/>
      <c r="Z433" s="3"/>
    </row>
    <row r="434" spans="1:26">
      <c r="A434" s="131">
        <v>436</v>
      </c>
      <c r="B434" s="74" t="s">
        <v>2161</v>
      </c>
      <c r="C434" s="357">
        <v>44631</v>
      </c>
      <c r="D434" s="74" t="s">
        <v>2162</v>
      </c>
      <c r="E434" s="36"/>
      <c r="F434" s="3"/>
      <c r="G434" s="3"/>
      <c r="H434" s="3"/>
      <c r="I434" s="3"/>
      <c r="J434" s="3"/>
      <c r="K434" s="3"/>
      <c r="L434" s="3"/>
      <c r="M434" s="3"/>
      <c r="N434" s="3"/>
      <c r="O434" s="3"/>
      <c r="P434" s="3"/>
      <c r="Q434" s="3"/>
      <c r="R434" s="3"/>
      <c r="S434" s="3"/>
      <c r="T434" s="3"/>
      <c r="U434" s="3"/>
      <c r="V434" s="3"/>
      <c r="W434" s="3"/>
      <c r="X434" s="3"/>
      <c r="Y434" s="3"/>
      <c r="Z434" s="3"/>
    </row>
    <row r="435" spans="1:26">
      <c r="A435" s="131">
        <v>437</v>
      </c>
      <c r="B435" s="74" t="s">
        <v>2163</v>
      </c>
      <c r="C435" s="357">
        <v>44641</v>
      </c>
      <c r="D435" s="74" t="s">
        <v>2164</v>
      </c>
      <c r="E435" s="36"/>
      <c r="F435" s="3"/>
      <c r="G435" s="3"/>
      <c r="H435" s="3"/>
      <c r="I435" s="3"/>
      <c r="J435" s="3"/>
      <c r="K435" s="3"/>
      <c r="L435" s="3"/>
      <c r="M435" s="3"/>
      <c r="N435" s="3"/>
      <c r="O435" s="3"/>
      <c r="P435" s="3"/>
      <c r="Q435" s="3"/>
      <c r="R435" s="3"/>
      <c r="S435" s="3"/>
      <c r="T435" s="3"/>
      <c r="U435" s="3"/>
      <c r="V435" s="3"/>
      <c r="W435" s="3"/>
      <c r="X435" s="3"/>
      <c r="Y435" s="3"/>
      <c r="Z435" s="3"/>
    </row>
    <row r="436" spans="1:26">
      <c r="A436" s="131">
        <v>438</v>
      </c>
      <c r="B436" s="74" t="s">
        <v>1354</v>
      </c>
      <c r="C436" s="357">
        <v>44651</v>
      </c>
      <c r="D436" s="74" t="s">
        <v>1356</v>
      </c>
      <c r="E436" s="36"/>
      <c r="F436" s="3"/>
      <c r="G436" s="3"/>
      <c r="H436" s="3"/>
      <c r="I436" s="3"/>
      <c r="J436" s="3"/>
      <c r="K436" s="3"/>
      <c r="L436" s="3"/>
      <c r="M436" s="3"/>
      <c r="N436" s="3"/>
      <c r="O436" s="3"/>
      <c r="P436" s="3"/>
      <c r="Q436" s="3"/>
      <c r="R436" s="3"/>
      <c r="S436" s="3"/>
      <c r="T436" s="3"/>
      <c r="U436" s="3"/>
      <c r="V436" s="3"/>
      <c r="W436" s="3"/>
      <c r="X436" s="3"/>
      <c r="Y436" s="3"/>
      <c r="Z436" s="3"/>
    </row>
    <row r="437" spans="1:26">
      <c r="A437" s="131">
        <v>439</v>
      </c>
      <c r="B437" s="74" t="s">
        <v>2165</v>
      </c>
      <c r="C437" s="357">
        <v>44677</v>
      </c>
      <c r="D437" s="74" t="s">
        <v>2166</v>
      </c>
      <c r="E437" s="36"/>
      <c r="F437" s="3"/>
      <c r="G437" s="3"/>
      <c r="H437" s="3"/>
      <c r="I437" s="3"/>
      <c r="J437" s="3"/>
      <c r="K437" s="3"/>
      <c r="L437" s="3"/>
      <c r="M437" s="3"/>
      <c r="N437" s="3"/>
      <c r="O437" s="3"/>
      <c r="P437" s="3"/>
      <c r="Q437" s="3"/>
      <c r="R437" s="3"/>
      <c r="S437" s="3"/>
      <c r="T437" s="3"/>
      <c r="U437" s="3"/>
      <c r="V437" s="3"/>
      <c r="W437" s="3"/>
      <c r="X437" s="3"/>
      <c r="Y437" s="3"/>
      <c r="Z437" s="3"/>
    </row>
    <row r="438" spans="1:26">
      <c r="A438" s="131">
        <v>440</v>
      </c>
      <c r="B438" s="74" t="s">
        <v>1351</v>
      </c>
      <c r="C438" s="357">
        <v>44679</v>
      </c>
      <c r="D438" s="74" t="s">
        <v>1353</v>
      </c>
      <c r="E438" s="36"/>
      <c r="F438" s="3"/>
      <c r="G438" s="3"/>
      <c r="H438" s="3"/>
      <c r="I438" s="3"/>
      <c r="J438" s="3"/>
      <c r="K438" s="3"/>
      <c r="L438" s="3"/>
      <c r="M438" s="3"/>
      <c r="N438" s="3"/>
      <c r="O438" s="3"/>
      <c r="P438" s="3"/>
      <c r="Q438" s="3"/>
      <c r="R438" s="3"/>
      <c r="S438" s="3"/>
      <c r="T438" s="3"/>
      <c r="U438" s="3"/>
      <c r="V438" s="3"/>
      <c r="W438" s="3"/>
      <c r="X438" s="3"/>
      <c r="Y438" s="3"/>
      <c r="Z438" s="3"/>
    </row>
    <row r="439" spans="1:26">
      <c r="A439" s="131">
        <v>441</v>
      </c>
      <c r="B439" s="74" t="s">
        <v>2167</v>
      </c>
      <c r="C439" s="357">
        <v>44697</v>
      </c>
      <c r="D439" s="74" t="s">
        <v>2168</v>
      </c>
      <c r="E439" s="36"/>
      <c r="F439" s="3"/>
      <c r="G439" s="3"/>
      <c r="H439" s="3"/>
      <c r="I439" s="3"/>
      <c r="J439" s="3"/>
      <c r="K439" s="3"/>
      <c r="L439" s="3"/>
      <c r="M439" s="3"/>
      <c r="N439" s="3"/>
      <c r="O439" s="3"/>
      <c r="P439" s="3"/>
      <c r="Q439" s="3"/>
      <c r="R439" s="3"/>
      <c r="S439" s="3"/>
      <c r="T439" s="3"/>
      <c r="U439" s="3"/>
      <c r="V439" s="3"/>
      <c r="W439" s="3"/>
      <c r="X439" s="3"/>
      <c r="Y439" s="3"/>
      <c r="Z439" s="3"/>
    </row>
    <row r="440" spans="1:26" ht="28.8">
      <c r="A440" s="131">
        <v>442</v>
      </c>
      <c r="B440" s="74" t="s">
        <v>2169</v>
      </c>
      <c r="C440" s="357">
        <v>44698</v>
      </c>
      <c r="D440" s="74" t="s">
        <v>946</v>
      </c>
      <c r="E440" s="36"/>
      <c r="F440" s="3"/>
      <c r="G440" s="3"/>
      <c r="H440" s="3"/>
      <c r="I440" s="3"/>
      <c r="J440" s="3"/>
      <c r="K440" s="3"/>
      <c r="L440" s="3"/>
      <c r="M440" s="3"/>
      <c r="N440" s="3"/>
      <c r="O440" s="3"/>
      <c r="P440" s="3"/>
      <c r="Q440" s="3"/>
      <c r="R440" s="3"/>
      <c r="S440" s="3"/>
      <c r="T440" s="3"/>
      <c r="U440" s="3"/>
      <c r="V440" s="3"/>
      <c r="W440" s="3"/>
      <c r="X440" s="3"/>
      <c r="Y440" s="3"/>
      <c r="Z440" s="3"/>
    </row>
    <row r="441" spans="1:26">
      <c r="A441" s="131">
        <v>443</v>
      </c>
      <c r="B441" s="74" t="s">
        <v>2170</v>
      </c>
      <c r="C441" s="357">
        <v>44705</v>
      </c>
      <c r="D441" s="74" t="s">
        <v>2171</v>
      </c>
      <c r="E441" s="36"/>
      <c r="F441" s="3"/>
      <c r="G441" s="3"/>
      <c r="H441" s="3"/>
      <c r="I441" s="3"/>
      <c r="J441" s="3"/>
      <c r="K441" s="3"/>
      <c r="L441" s="3"/>
      <c r="M441" s="3"/>
      <c r="N441" s="3"/>
      <c r="O441" s="3"/>
      <c r="P441" s="3"/>
      <c r="Q441" s="3"/>
      <c r="R441" s="3"/>
      <c r="S441" s="3"/>
      <c r="T441" s="3"/>
      <c r="U441" s="3"/>
      <c r="V441" s="3"/>
      <c r="W441" s="3"/>
      <c r="X441" s="3"/>
      <c r="Y441" s="3"/>
      <c r="Z441" s="3"/>
    </row>
    <row r="442" spans="1:26">
      <c r="A442" s="131">
        <v>444</v>
      </c>
      <c r="B442" s="74" t="s">
        <v>2172</v>
      </c>
      <c r="C442" s="370">
        <v>44713</v>
      </c>
      <c r="D442" s="74" t="s">
        <v>2173</v>
      </c>
      <c r="E442" s="36"/>
      <c r="F442" s="3"/>
      <c r="G442" s="3"/>
      <c r="H442" s="3"/>
      <c r="I442" s="3"/>
      <c r="J442" s="3"/>
      <c r="K442" s="3"/>
      <c r="L442" s="3"/>
      <c r="M442" s="3"/>
      <c r="N442" s="3"/>
      <c r="O442" s="3"/>
      <c r="P442" s="3"/>
      <c r="Q442" s="3"/>
      <c r="R442" s="3"/>
      <c r="S442" s="3"/>
      <c r="T442" s="3"/>
      <c r="U442" s="3"/>
      <c r="V442" s="3"/>
      <c r="W442" s="3"/>
      <c r="X442" s="3"/>
      <c r="Y442" s="3"/>
      <c r="Z442" s="3"/>
    </row>
    <row r="443" spans="1:26">
      <c r="A443" s="131">
        <v>445</v>
      </c>
      <c r="B443" s="74" t="s">
        <v>2174</v>
      </c>
      <c r="C443" s="339">
        <v>44713</v>
      </c>
      <c r="D443" s="371" t="s">
        <v>2175</v>
      </c>
      <c r="E443" s="67"/>
      <c r="F443" s="3"/>
      <c r="G443" s="3"/>
      <c r="H443" s="3"/>
      <c r="I443" s="3"/>
      <c r="J443" s="3"/>
      <c r="K443" s="3"/>
      <c r="L443" s="3"/>
      <c r="M443" s="3"/>
      <c r="N443" s="3"/>
      <c r="O443" s="3"/>
      <c r="P443" s="3"/>
      <c r="Q443" s="3"/>
      <c r="R443" s="3"/>
      <c r="S443" s="3"/>
      <c r="T443" s="3"/>
      <c r="U443" s="3"/>
      <c r="V443" s="3"/>
      <c r="W443" s="3"/>
      <c r="X443" s="3"/>
      <c r="Y443" s="3"/>
      <c r="Z443" s="3"/>
    </row>
    <row r="444" spans="1:26" s="37" customFormat="1">
      <c r="A444" s="131">
        <v>446</v>
      </c>
      <c r="B444" s="115" t="s">
        <v>2176</v>
      </c>
      <c r="C444" s="339">
        <v>44715</v>
      </c>
      <c r="D444" s="74" t="s">
        <v>2177</v>
      </c>
      <c r="E444" s="36"/>
      <c r="F444" s="3"/>
      <c r="G444" s="3"/>
      <c r="H444" s="3"/>
      <c r="I444" s="3"/>
      <c r="J444" s="3"/>
      <c r="K444" s="3"/>
      <c r="L444" s="3"/>
      <c r="M444" s="3"/>
      <c r="N444" s="3"/>
      <c r="O444" s="3"/>
      <c r="P444" s="3"/>
      <c r="Q444" s="3"/>
      <c r="R444" s="3"/>
      <c r="S444" s="3"/>
      <c r="T444" s="3"/>
      <c r="U444" s="3"/>
      <c r="V444" s="3"/>
      <c r="W444" s="3"/>
      <c r="X444" s="3"/>
      <c r="Y444" s="3"/>
      <c r="Z444" s="3"/>
    </row>
    <row r="445" spans="1:26">
      <c r="A445" s="131">
        <v>447</v>
      </c>
      <c r="B445" s="74" t="s">
        <v>1348</v>
      </c>
      <c r="C445" s="339">
        <v>44719</v>
      </c>
      <c r="D445" s="74" t="s">
        <v>1350</v>
      </c>
      <c r="E445" s="36"/>
      <c r="F445" s="3"/>
      <c r="G445" s="3"/>
      <c r="H445" s="3"/>
      <c r="I445" s="3"/>
      <c r="J445" s="3"/>
      <c r="K445" s="3"/>
      <c r="L445" s="3"/>
      <c r="M445" s="3"/>
      <c r="N445" s="3"/>
      <c r="O445" s="3"/>
      <c r="P445" s="3"/>
      <c r="Q445" s="3"/>
      <c r="R445" s="3"/>
      <c r="S445" s="3"/>
      <c r="T445" s="3"/>
      <c r="U445" s="3"/>
      <c r="V445" s="3"/>
      <c r="W445" s="3"/>
      <c r="X445" s="3"/>
      <c r="Y445" s="3"/>
      <c r="Z445" s="3"/>
    </row>
    <row r="446" spans="1:26">
      <c r="A446" s="131">
        <v>448</v>
      </c>
      <c r="B446" s="74" t="s">
        <v>2178</v>
      </c>
      <c r="C446" s="339">
        <v>44720</v>
      </c>
      <c r="D446" s="74" t="s">
        <v>2179</v>
      </c>
      <c r="E446" s="36"/>
      <c r="F446" s="3"/>
      <c r="G446" s="3"/>
      <c r="H446" s="3"/>
      <c r="I446" s="3"/>
      <c r="J446" s="3"/>
      <c r="K446" s="3"/>
      <c r="L446" s="3"/>
      <c r="M446" s="3"/>
      <c r="N446" s="3"/>
      <c r="O446" s="3"/>
      <c r="P446" s="3"/>
      <c r="Q446" s="3"/>
      <c r="R446" s="3"/>
      <c r="S446" s="3"/>
      <c r="T446" s="3"/>
      <c r="U446" s="3"/>
      <c r="V446" s="3"/>
      <c r="W446" s="3"/>
      <c r="X446" s="3"/>
      <c r="Y446" s="3"/>
      <c r="Z446" s="3"/>
    </row>
    <row r="447" spans="1:26">
      <c r="A447" s="131">
        <v>449</v>
      </c>
      <c r="B447" s="74" t="s">
        <v>2180</v>
      </c>
      <c r="C447" s="339">
        <v>44721</v>
      </c>
      <c r="D447" s="74" t="s">
        <v>2181</v>
      </c>
      <c r="E447" s="36"/>
      <c r="F447" s="3"/>
      <c r="G447" s="3"/>
      <c r="H447" s="3"/>
      <c r="I447" s="3"/>
      <c r="J447" s="3"/>
      <c r="K447" s="3"/>
      <c r="L447" s="3"/>
      <c r="M447" s="3"/>
      <c r="N447" s="3"/>
      <c r="O447" s="3"/>
      <c r="P447" s="3"/>
      <c r="Q447" s="3"/>
      <c r="R447" s="3"/>
      <c r="S447" s="3"/>
      <c r="T447" s="3"/>
      <c r="U447" s="3"/>
      <c r="V447" s="3"/>
      <c r="W447" s="3"/>
      <c r="X447" s="3"/>
      <c r="Y447" s="3"/>
      <c r="Z447" s="3"/>
    </row>
    <row r="448" spans="1:26">
      <c r="A448" s="131">
        <v>450</v>
      </c>
      <c r="B448" s="74" t="s">
        <v>2182</v>
      </c>
      <c r="C448" s="339">
        <v>44723</v>
      </c>
      <c r="D448" s="74" t="s">
        <v>2183</v>
      </c>
      <c r="E448" s="36"/>
      <c r="F448" s="3"/>
      <c r="G448" s="3"/>
      <c r="H448" s="3"/>
      <c r="I448" s="3"/>
      <c r="J448" s="3"/>
      <c r="K448" s="3"/>
      <c r="L448" s="3"/>
      <c r="M448" s="3"/>
      <c r="N448" s="3"/>
      <c r="O448" s="3"/>
      <c r="P448" s="3"/>
      <c r="Q448" s="3"/>
      <c r="R448" s="3"/>
      <c r="S448" s="3"/>
      <c r="T448" s="3"/>
      <c r="U448" s="3"/>
      <c r="V448" s="3"/>
      <c r="W448" s="3"/>
      <c r="X448" s="3"/>
      <c r="Y448" s="3"/>
      <c r="Z448" s="3"/>
    </row>
    <row r="449" spans="1:26">
      <c r="A449" s="131">
        <v>451</v>
      </c>
      <c r="B449" s="74" t="s">
        <v>2184</v>
      </c>
      <c r="C449" s="339">
        <v>44725</v>
      </c>
      <c r="D449" s="74" t="s">
        <v>2185</v>
      </c>
      <c r="E449" s="36"/>
      <c r="F449" s="3"/>
      <c r="G449" s="3"/>
      <c r="H449" s="3"/>
      <c r="I449" s="3"/>
      <c r="J449" s="3"/>
      <c r="K449" s="3"/>
      <c r="L449" s="3"/>
      <c r="M449" s="3"/>
      <c r="N449" s="3"/>
      <c r="O449" s="3"/>
      <c r="P449" s="3"/>
      <c r="Q449" s="3"/>
      <c r="R449" s="3"/>
      <c r="S449" s="3"/>
      <c r="T449" s="3"/>
      <c r="U449" s="3"/>
      <c r="V449" s="3"/>
      <c r="W449" s="3"/>
      <c r="X449" s="3"/>
      <c r="Y449" s="3"/>
      <c r="Z449" s="3"/>
    </row>
    <row r="450" spans="1:26">
      <c r="A450" s="131">
        <v>452</v>
      </c>
      <c r="B450" s="74" t="s">
        <v>2186</v>
      </c>
      <c r="C450" s="339">
        <v>44725</v>
      </c>
      <c r="D450" s="74" t="s">
        <v>2187</v>
      </c>
      <c r="E450" s="36"/>
      <c r="F450" s="3"/>
      <c r="G450" s="3"/>
      <c r="H450" s="3"/>
      <c r="I450" s="3"/>
      <c r="J450" s="3"/>
      <c r="K450" s="3"/>
      <c r="L450" s="3"/>
      <c r="M450" s="3"/>
      <c r="N450" s="3"/>
      <c r="O450" s="3"/>
      <c r="P450" s="3"/>
      <c r="Q450" s="3"/>
      <c r="R450" s="3"/>
      <c r="S450" s="3"/>
      <c r="T450" s="3"/>
      <c r="U450" s="3"/>
      <c r="V450" s="3"/>
      <c r="W450" s="3"/>
      <c r="X450" s="3"/>
      <c r="Y450" s="3"/>
      <c r="Z450" s="3"/>
    </row>
    <row r="451" spans="1:26">
      <c r="A451" s="131">
        <v>453</v>
      </c>
      <c r="B451" s="74" t="s">
        <v>2188</v>
      </c>
      <c r="C451" s="339">
        <v>44726</v>
      </c>
      <c r="D451" s="74" t="s">
        <v>2189</v>
      </c>
      <c r="E451" s="36"/>
      <c r="F451" s="3"/>
      <c r="G451" s="3"/>
      <c r="H451" s="3"/>
      <c r="I451" s="3"/>
      <c r="J451" s="3"/>
      <c r="K451" s="3"/>
      <c r="L451" s="3"/>
      <c r="M451" s="3"/>
      <c r="N451" s="3"/>
      <c r="O451" s="3"/>
      <c r="P451" s="3"/>
      <c r="Q451" s="3"/>
      <c r="R451" s="3"/>
      <c r="S451" s="3"/>
      <c r="T451" s="3"/>
      <c r="U451" s="3"/>
      <c r="V451" s="3"/>
      <c r="W451" s="3"/>
      <c r="X451" s="3"/>
      <c r="Y451" s="3"/>
      <c r="Z451" s="3"/>
    </row>
    <row r="452" spans="1:26" ht="28.8">
      <c r="A452" s="131">
        <v>454</v>
      </c>
      <c r="B452" s="74" t="s">
        <v>2190</v>
      </c>
      <c r="C452" s="339">
        <v>44727</v>
      </c>
      <c r="D452" s="74" t="s">
        <v>2191</v>
      </c>
      <c r="E452" s="36"/>
      <c r="F452" s="3"/>
      <c r="G452" s="3"/>
      <c r="H452" s="3"/>
      <c r="I452" s="3"/>
      <c r="J452" s="3"/>
      <c r="K452" s="3"/>
      <c r="L452" s="3"/>
      <c r="M452" s="3"/>
      <c r="N452" s="3"/>
      <c r="O452" s="3"/>
      <c r="P452" s="3"/>
      <c r="Q452" s="3"/>
      <c r="R452" s="3"/>
      <c r="S452" s="3"/>
      <c r="T452" s="3"/>
      <c r="U452" s="3"/>
      <c r="V452" s="3"/>
      <c r="W452" s="3"/>
      <c r="X452" s="3"/>
      <c r="Y452" s="3"/>
      <c r="Z452" s="3"/>
    </row>
    <row r="453" spans="1:26">
      <c r="A453" s="131">
        <v>455</v>
      </c>
      <c r="B453" s="74" t="s">
        <v>2192</v>
      </c>
      <c r="C453" s="339">
        <v>44768</v>
      </c>
      <c r="D453" s="74" t="s">
        <v>2193</v>
      </c>
      <c r="E453" s="36"/>
      <c r="F453" s="3"/>
      <c r="G453" s="3"/>
      <c r="H453" s="3"/>
      <c r="I453" s="3"/>
      <c r="J453" s="3"/>
      <c r="K453" s="3"/>
      <c r="L453" s="3"/>
      <c r="M453" s="3"/>
      <c r="N453" s="3"/>
      <c r="O453" s="3"/>
      <c r="P453" s="3"/>
      <c r="Q453" s="3"/>
      <c r="R453" s="3"/>
      <c r="S453" s="3"/>
      <c r="T453" s="3"/>
      <c r="U453" s="3"/>
      <c r="V453" s="3"/>
      <c r="W453" s="3"/>
      <c r="X453" s="3"/>
      <c r="Y453" s="3"/>
      <c r="Z453" s="3"/>
    </row>
    <row r="454" spans="1:26" ht="28.8">
      <c r="A454" s="131">
        <v>456</v>
      </c>
      <c r="B454" s="74" t="s">
        <v>2194</v>
      </c>
      <c r="C454" s="339">
        <v>44802</v>
      </c>
      <c r="D454" s="74" t="s">
        <v>2195</v>
      </c>
      <c r="E454" s="36"/>
      <c r="F454" s="3"/>
      <c r="G454" s="3"/>
      <c r="H454" s="3"/>
      <c r="I454" s="3"/>
      <c r="J454" s="3"/>
      <c r="K454" s="3"/>
      <c r="L454" s="3"/>
      <c r="M454" s="3"/>
      <c r="N454" s="3"/>
      <c r="O454" s="3"/>
      <c r="P454" s="3"/>
      <c r="Q454" s="3"/>
      <c r="R454" s="3"/>
      <c r="S454" s="3"/>
      <c r="T454" s="3"/>
      <c r="U454" s="3"/>
      <c r="V454" s="3"/>
      <c r="W454" s="3"/>
      <c r="X454" s="3"/>
      <c r="Y454" s="3"/>
      <c r="Z454" s="3"/>
    </row>
    <row r="455" spans="1:26">
      <c r="A455" s="131">
        <v>457</v>
      </c>
      <c r="B455" s="74" t="s">
        <v>2196</v>
      </c>
      <c r="C455" s="339">
        <v>44810</v>
      </c>
      <c r="D455" s="74" t="s">
        <v>2197</v>
      </c>
      <c r="E455" s="36"/>
      <c r="F455" s="3"/>
      <c r="G455" s="3"/>
      <c r="H455" s="3"/>
      <c r="I455" s="3"/>
      <c r="J455" s="3"/>
      <c r="K455" s="3"/>
      <c r="L455" s="3"/>
      <c r="M455" s="3"/>
      <c r="N455" s="3"/>
      <c r="O455" s="3"/>
      <c r="P455" s="3"/>
      <c r="Q455" s="3"/>
      <c r="R455" s="3"/>
      <c r="S455" s="3"/>
      <c r="T455" s="3"/>
      <c r="U455" s="3"/>
      <c r="V455" s="3"/>
      <c r="W455" s="3"/>
      <c r="X455" s="3"/>
      <c r="Y455" s="3"/>
      <c r="Z455" s="3"/>
    </row>
    <row r="456" spans="1:26">
      <c r="A456" s="131">
        <v>458</v>
      </c>
      <c r="B456" s="74" t="s">
        <v>2198</v>
      </c>
      <c r="C456" s="339">
        <v>44810</v>
      </c>
      <c r="D456" s="74" t="s">
        <v>21</v>
      </c>
      <c r="E456" s="36"/>
      <c r="F456" s="3"/>
      <c r="G456" s="3"/>
      <c r="H456" s="3"/>
      <c r="I456" s="3"/>
      <c r="J456" s="3"/>
      <c r="K456" s="3"/>
      <c r="L456" s="3"/>
      <c r="M456" s="3"/>
      <c r="N456" s="3"/>
      <c r="O456" s="3"/>
      <c r="P456" s="3"/>
      <c r="Q456" s="3"/>
      <c r="R456" s="3"/>
      <c r="S456" s="3"/>
      <c r="T456" s="3"/>
      <c r="U456" s="3"/>
      <c r="V456" s="3"/>
      <c r="W456" s="3"/>
      <c r="X456" s="3"/>
      <c r="Y456" s="3"/>
      <c r="Z456" s="3"/>
    </row>
    <row r="457" spans="1:26">
      <c r="A457" s="131">
        <v>459</v>
      </c>
      <c r="B457" s="74" t="s">
        <v>2199</v>
      </c>
      <c r="C457" s="339">
        <v>44812</v>
      </c>
      <c r="D457" s="74" t="s">
        <v>2200</v>
      </c>
      <c r="E457" s="36"/>
      <c r="F457" s="3"/>
      <c r="G457" s="3"/>
      <c r="H457" s="3"/>
      <c r="I457" s="3"/>
      <c r="J457" s="3"/>
      <c r="K457" s="3"/>
      <c r="L457" s="3"/>
      <c r="M457" s="3"/>
      <c r="N457" s="3"/>
      <c r="O457" s="3"/>
      <c r="P457" s="3"/>
      <c r="Q457" s="3"/>
      <c r="R457" s="3"/>
      <c r="S457" s="3"/>
      <c r="T457" s="3"/>
      <c r="U457" s="3"/>
      <c r="V457" s="3"/>
      <c r="W457" s="3"/>
      <c r="X457" s="3"/>
      <c r="Y457" s="3"/>
      <c r="Z457" s="3"/>
    </row>
    <row r="458" spans="1:26">
      <c r="A458" s="131">
        <v>460</v>
      </c>
      <c r="B458" s="74" t="s">
        <v>2201</v>
      </c>
      <c r="C458" s="339">
        <v>44817</v>
      </c>
      <c r="D458" s="74" t="s">
        <v>2202</v>
      </c>
      <c r="E458" s="36"/>
      <c r="F458" s="3"/>
      <c r="G458" s="3"/>
      <c r="H458" s="3"/>
      <c r="I458" s="3"/>
      <c r="J458" s="3"/>
      <c r="K458" s="3"/>
      <c r="L458" s="3"/>
      <c r="M458" s="3"/>
      <c r="N458" s="3"/>
      <c r="O458" s="3"/>
      <c r="P458" s="3"/>
      <c r="Q458" s="3"/>
      <c r="R458" s="3"/>
      <c r="S458" s="3"/>
      <c r="T458" s="3"/>
      <c r="U458" s="3"/>
      <c r="V458" s="3"/>
      <c r="W458" s="3"/>
      <c r="X458" s="3"/>
      <c r="Y458" s="3"/>
      <c r="Z458" s="3"/>
    </row>
    <row r="459" spans="1:26">
      <c r="A459" s="131">
        <v>461</v>
      </c>
      <c r="B459" s="74" t="s">
        <v>2203</v>
      </c>
      <c r="C459" s="339">
        <v>44819</v>
      </c>
      <c r="D459" s="74" t="s">
        <v>2204</v>
      </c>
      <c r="E459" s="36"/>
      <c r="F459" s="3"/>
      <c r="G459" s="3"/>
      <c r="H459" s="3"/>
      <c r="I459" s="3"/>
      <c r="J459" s="3"/>
      <c r="K459" s="3"/>
      <c r="L459" s="3"/>
      <c r="M459" s="3"/>
      <c r="N459" s="3"/>
      <c r="O459" s="3"/>
      <c r="P459" s="3"/>
      <c r="Q459" s="3"/>
      <c r="R459" s="3"/>
      <c r="S459" s="3"/>
      <c r="T459" s="3"/>
      <c r="U459" s="3"/>
      <c r="V459" s="3"/>
      <c r="W459" s="3"/>
      <c r="X459" s="3"/>
      <c r="Y459" s="3"/>
      <c r="Z459" s="3"/>
    </row>
    <row r="460" spans="1:26">
      <c r="A460" s="131">
        <v>462</v>
      </c>
      <c r="B460" s="74" t="s">
        <v>2205</v>
      </c>
      <c r="C460" s="339">
        <v>44821</v>
      </c>
      <c r="D460" s="74" t="s">
        <v>2206</v>
      </c>
      <c r="E460" s="36"/>
      <c r="F460" s="3"/>
      <c r="G460" s="3"/>
      <c r="H460" s="3"/>
      <c r="I460" s="3"/>
      <c r="J460" s="3"/>
      <c r="K460" s="3"/>
      <c r="L460" s="3"/>
      <c r="M460" s="3"/>
      <c r="N460" s="3"/>
      <c r="O460" s="3"/>
      <c r="P460" s="3"/>
      <c r="Q460" s="3"/>
      <c r="R460" s="3"/>
      <c r="S460" s="3"/>
      <c r="T460" s="3"/>
      <c r="U460" s="3"/>
      <c r="V460" s="3"/>
      <c r="W460" s="3"/>
      <c r="X460" s="3"/>
      <c r="Y460" s="3"/>
      <c r="Z460" s="3"/>
    </row>
    <row r="461" spans="1:26">
      <c r="A461" s="131">
        <v>463</v>
      </c>
      <c r="B461" s="74" t="s">
        <v>2207</v>
      </c>
      <c r="C461" s="339">
        <v>44824</v>
      </c>
      <c r="D461" s="74" t="s">
        <v>2208</v>
      </c>
      <c r="E461" s="36"/>
      <c r="F461" s="3"/>
      <c r="G461" s="3"/>
      <c r="H461" s="3"/>
      <c r="I461" s="3"/>
      <c r="J461" s="3"/>
      <c r="K461" s="3"/>
      <c r="L461" s="3"/>
      <c r="M461" s="3"/>
      <c r="N461" s="3"/>
      <c r="O461" s="3"/>
      <c r="P461" s="3"/>
      <c r="Q461" s="3"/>
      <c r="R461" s="3"/>
      <c r="S461" s="3"/>
      <c r="T461" s="3"/>
      <c r="U461" s="3"/>
      <c r="V461" s="3"/>
      <c r="W461" s="3"/>
      <c r="X461" s="3"/>
      <c r="Y461" s="3"/>
      <c r="Z461" s="3"/>
    </row>
    <row r="462" spans="1:26">
      <c r="A462" s="131">
        <v>464</v>
      </c>
      <c r="B462" s="74" t="s">
        <v>2209</v>
      </c>
      <c r="C462" s="339">
        <v>44824</v>
      </c>
      <c r="D462" s="74" t="s">
        <v>2208</v>
      </c>
      <c r="E462" s="36"/>
      <c r="F462" s="3"/>
      <c r="G462" s="3"/>
      <c r="H462" s="3"/>
      <c r="I462" s="3"/>
      <c r="J462" s="3"/>
      <c r="K462" s="3"/>
      <c r="L462" s="3"/>
      <c r="M462" s="3"/>
      <c r="N462" s="3"/>
      <c r="O462" s="3"/>
      <c r="P462" s="3"/>
      <c r="Q462" s="3"/>
      <c r="R462" s="3"/>
      <c r="S462" s="3"/>
      <c r="T462" s="3"/>
      <c r="U462" s="3"/>
      <c r="V462" s="3"/>
      <c r="W462" s="3"/>
      <c r="X462" s="3"/>
      <c r="Y462" s="3"/>
      <c r="Z462" s="3"/>
    </row>
    <row r="463" spans="1:26">
      <c r="A463" s="131">
        <v>465</v>
      </c>
      <c r="B463" s="74" t="s">
        <v>2210</v>
      </c>
      <c r="C463" s="339">
        <v>44827</v>
      </c>
      <c r="D463" s="74" t="s">
        <v>2211</v>
      </c>
      <c r="E463" s="36"/>
      <c r="F463" s="3"/>
      <c r="G463" s="3"/>
      <c r="H463" s="3"/>
      <c r="I463" s="3"/>
      <c r="J463" s="3"/>
      <c r="K463" s="3"/>
      <c r="L463" s="3"/>
      <c r="M463" s="3"/>
      <c r="N463" s="3"/>
      <c r="O463" s="3"/>
      <c r="P463" s="3"/>
      <c r="Q463" s="3"/>
      <c r="R463" s="3"/>
      <c r="S463" s="3"/>
      <c r="T463" s="3"/>
      <c r="U463" s="3"/>
      <c r="V463" s="3"/>
      <c r="W463" s="3"/>
      <c r="X463" s="3"/>
      <c r="Y463" s="3"/>
      <c r="Z463" s="3"/>
    </row>
    <row r="464" spans="1:26">
      <c r="A464" s="131">
        <v>466</v>
      </c>
      <c r="B464" s="74" t="s">
        <v>2212</v>
      </c>
      <c r="C464" s="339">
        <v>44830</v>
      </c>
      <c r="D464" s="74" t="s">
        <v>2213</v>
      </c>
      <c r="E464" s="36"/>
      <c r="F464" s="3"/>
      <c r="G464" s="3"/>
      <c r="H464" s="3"/>
      <c r="I464" s="3"/>
      <c r="J464" s="3"/>
      <c r="K464" s="3"/>
      <c r="L464" s="3"/>
      <c r="M464" s="3"/>
      <c r="N464" s="3"/>
      <c r="O464" s="3"/>
      <c r="P464" s="3"/>
      <c r="Q464" s="3"/>
      <c r="R464" s="3"/>
      <c r="S464" s="3"/>
      <c r="T464" s="3"/>
      <c r="U464" s="3"/>
      <c r="V464" s="3"/>
      <c r="W464" s="3"/>
      <c r="X464" s="3"/>
      <c r="Y464" s="3"/>
      <c r="Z464" s="3"/>
    </row>
    <row r="465" spans="1:26">
      <c r="A465" s="131">
        <v>467</v>
      </c>
      <c r="B465" s="74" t="s">
        <v>2214</v>
      </c>
      <c r="C465" s="339">
        <v>44831</v>
      </c>
      <c r="D465" s="74" t="s">
        <v>2215</v>
      </c>
      <c r="E465" s="36"/>
      <c r="F465" s="3"/>
      <c r="G465" s="3"/>
      <c r="H465" s="3"/>
      <c r="I465" s="3"/>
      <c r="J465" s="3"/>
      <c r="K465" s="3"/>
      <c r="L465" s="3"/>
      <c r="M465" s="3"/>
      <c r="N465" s="3"/>
      <c r="O465" s="3"/>
      <c r="P465" s="3"/>
      <c r="Q465" s="3"/>
      <c r="R465" s="3"/>
      <c r="S465" s="3"/>
      <c r="T465" s="3"/>
      <c r="U465" s="3"/>
      <c r="V465" s="3"/>
      <c r="W465" s="3"/>
      <c r="X465" s="3"/>
      <c r="Y465" s="3"/>
      <c r="Z465" s="3"/>
    </row>
    <row r="466" spans="1:26">
      <c r="A466" s="131">
        <v>468</v>
      </c>
      <c r="B466" s="74" t="s">
        <v>2216</v>
      </c>
      <c r="C466" s="339">
        <v>44831</v>
      </c>
      <c r="D466" s="74" t="s">
        <v>2217</v>
      </c>
      <c r="E466" s="36"/>
      <c r="F466" s="3"/>
      <c r="G466" s="3"/>
      <c r="H466" s="3"/>
      <c r="I466" s="3"/>
      <c r="J466" s="3"/>
      <c r="K466" s="3"/>
      <c r="L466" s="3"/>
      <c r="M466" s="3"/>
      <c r="N466" s="3"/>
      <c r="O466" s="3"/>
      <c r="P466" s="3"/>
      <c r="Q466" s="3"/>
      <c r="R466" s="3"/>
      <c r="S466" s="3"/>
      <c r="T466" s="3"/>
      <c r="U466" s="3"/>
      <c r="V466" s="3"/>
      <c r="W466" s="3"/>
      <c r="X466" s="3"/>
      <c r="Y466" s="3"/>
      <c r="Z466" s="3"/>
    </row>
    <row r="467" spans="1:26">
      <c r="A467" s="131">
        <v>469</v>
      </c>
      <c r="B467" s="74" t="s">
        <v>2218</v>
      </c>
      <c r="C467" s="339">
        <v>44832</v>
      </c>
      <c r="D467" s="74" t="s">
        <v>2219</v>
      </c>
      <c r="E467" s="36"/>
      <c r="F467" s="3"/>
      <c r="G467" s="3"/>
      <c r="H467" s="3"/>
      <c r="I467" s="3"/>
      <c r="J467" s="3"/>
      <c r="K467" s="3"/>
      <c r="L467" s="3"/>
      <c r="M467" s="3"/>
      <c r="N467" s="3"/>
      <c r="O467" s="3"/>
      <c r="P467" s="3"/>
      <c r="Q467" s="3"/>
      <c r="R467" s="3"/>
      <c r="S467" s="3"/>
      <c r="T467" s="3"/>
      <c r="U467" s="3"/>
      <c r="V467" s="3"/>
      <c r="W467" s="3"/>
      <c r="X467" s="3"/>
      <c r="Y467" s="3"/>
      <c r="Z467" s="3"/>
    </row>
    <row r="468" spans="1:26" ht="13.8" customHeight="1">
      <c r="A468" s="131">
        <v>470</v>
      </c>
      <c r="B468" s="74" t="s">
        <v>2220</v>
      </c>
      <c r="C468" s="339">
        <v>44832</v>
      </c>
      <c r="D468" s="74" t="s">
        <v>2221</v>
      </c>
      <c r="E468" s="36"/>
      <c r="F468" s="3"/>
      <c r="G468" s="3"/>
      <c r="H468" s="3"/>
      <c r="I468" s="3"/>
      <c r="J468" s="3"/>
      <c r="K468" s="3"/>
      <c r="L468" s="3"/>
      <c r="M468" s="3"/>
      <c r="N468" s="3"/>
      <c r="O468" s="3"/>
      <c r="P468" s="3"/>
      <c r="Q468" s="3"/>
      <c r="R468" s="3"/>
      <c r="S468" s="3"/>
      <c r="T468" s="3"/>
      <c r="U468" s="3"/>
      <c r="V468" s="3"/>
      <c r="W468" s="3"/>
      <c r="X468" s="3"/>
      <c r="Y468" s="3"/>
      <c r="Z468" s="3"/>
    </row>
    <row r="469" spans="1:26" ht="13.8" customHeight="1">
      <c r="A469" s="131">
        <v>471</v>
      </c>
      <c r="B469" s="74" t="s">
        <v>2222</v>
      </c>
      <c r="C469" s="339">
        <v>44833</v>
      </c>
      <c r="D469" s="74" t="s">
        <v>2221</v>
      </c>
      <c r="E469" s="36"/>
      <c r="F469" s="3"/>
      <c r="G469" s="3"/>
      <c r="H469" s="3"/>
      <c r="I469" s="3"/>
      <c r="J469" s="3"/>
      <c r="K469" s="3"/>
      <c r="L469" s="3"/>
      <c r="M469" s="3"/>
      <c r="N469" s="3"/>
      <c r="O469" s="3"/>
      <c r="P469" s="3"/>
      <c r="Q469" s="3"/>
      <c r="R469" s="3"/>
      <c r="S469" s="3"/>
      <c r="T469" s="3"/>
      <c r="U469" s="3"/>
      <c r="V469" s="3"/>
      <c r="W469" s="3"/>
      <c r="X469" s="3"/>
      <c r="Y469" s="3"/>
      <c r="Z469" s="3"/>
    </row>
    <row r="470" spans="1:26">
      <c r="A470" s="131">
        <v>472</v>
      </c>
      <c r="B470" s="74" t="s">
        <v>1345</v>
      </c>
      <c r="C470" s="339">
        <v>44872</v>
      </c>
      <c r="D470" s="74" t="s">
        <v>1347</v>
      </c>
      <c r="E470" s="36"/>
      <c r="F470" s="3"/>
      <c r="G470" s="3"/>
      <c r="H470" s="3"/>
      <c r="I470" s="3"/>
      <c r="J470" s="3"/>
      <c r="K470" s="3"/>
      <c r="L470" s="3"/>
      <c r="M470" s="3"/>
      <c r="N470" s="3"/>
      <c r="O470" s="3"/>
      <c r="P470" s="3"/>
      <c r="Q470" s="3"/>
      <c r="R470" s="3"/>
      <c r="S470" s="3"/>
      <c r="T470" s="3"/>
      <c r="U470" s="3"/>
      <c r="V470" s="3"/>
      <c r="W470" s="3"/>
      <c r="X470" s="3"/>
      <c r="Y470" s="3"/>
      <c r="Z470" s="3"/>
    </row>
    <row r="471" spans="1:26">
      <c r="A471" s="131">
        <v>473</v>
      </c>
      <c r="B471" s="74" t="s">
        <v>2223</v>
      </c>
      <c r="C471" s="339">
        <v>44890</v>
      </c>
      <c r="D471" s="74" t="s">
        <v>2224</v>
      </c>
      <c r="E471" s="36"/>
      <c r="F471" s="3"/>
      <c r="G471" s="3"/>
      <c r="H471" s="3"/>
      <c r="I471" s="3"/>
      <c r="J471" s="3"/>
      <c r="K471" s="3"/>
      <c r="L471" s="3"/>
      <c r="M471" s="3"/>
      <c r="N471" s="3"/>
      <c r="O471" s="3"/>
      <c r="P471" s="3"/>
      <c r="Q471" s="3"/>
      <c r="R471" s="3"/>
      <c r="S471" s="3"/>
      <c r="T471" s="3"/>
      <c r="U471" s="3"/>
      <c r="V471" s="3"/>
      <c r="W471" s="3"/>
      <c r="X471" s="3"/>
      <c r="Y471" s="3"/>
      <c r="Z471" s="3"/>
    </row>
    <row r="472" spans="1:26" ht="28.8">
      <c r="A472" s="131">
        <v>474</v>
      </c>
      <c r="B472" s="74" t="s">
        <v>2225</v>
      </c>
      <c r="C472" s="339">
        <v>44890</v>
      </c>
      <c r="D472" s="74" t="s">
        <v>2195</v>
      </c>
      <c r="E472" s="36"/>
      <c r="F472" s="3"/>
      <c r="G472" s="3"/>
      <c r="H472" s="3"/>
      <c r="I472" s="3"/>
      <c r="J472" s="3"/>
      <c r="K472" s="3"/>
      <c r="L472" s="3"/>
      <c r="M472" s="3"/>
      <c r="N472" s="3"/>
      <c r="O472" s="3"/>
      <c r="P472" s="3"/>
      <c r="Q472" s="3"/>
      <c r="R472" s="3"/>
      <c r="S472" s="3"/>
      <c r="T472" s="3"/>
      <c r="U472" s="3"/>
      <c r="V472" s="3"/>
      <c r="W472" s="3"/>
      <c r="X472" s="3"/>
      <c r="Y472" s="3"/>
      <c r="Z472" s="3"/>
    </row>
    <row r="473" spans="1:26">
      <c r="A473" s="131">
        <v>475</v>
      </c>
      <c r="B473" s="74" t="s">
        <v>2226</v>
      </c>
      <c r="C473" s="339">
        <v>44890</v>
      </c>
      <c r="D473" s="74" t="s">
        <v>2227</v>
      </c>
      <c r="E473" s="36"/>
      <c r="F473" s="3"/>
      <c r="G473" s="3"/>
      <c r="H473" s="3"/>
      <c r="I473" s="3"/>
      <c r="J473" s="3"/>
      <c r="K473" s="3"/>
      <c r="L473" s="3"/>
      <c r="M473" s="3"/>
      <c r="N473" s="3"/>
      <c r="O473" s="3"/>
      <c r="P473" s="3"/>
      <c r="Q473" s="3"/>
      <c r="R473" s="3"/>
      <c r="S473" s="3"/>
      <c r="T473" s="3"/>
      <c r="U473" s="3"/>
      <c r="V473" s="3"/>
      <c r="W473" s="3"/>
      <c r="X473" s="3"/>
      <c r="Y473" s="3"/>
      <c r="Z473" s="3"/>
    </row>
    <row r="474" spans="1:26">
      <c r="A474" s="131">
        <v>476</v>
      </c>
      <c r="B474" s="74" t="s">
        <v>2228</v>
      </c>
      <c r="C474" s="339">
        <v>44894</v>
      </c>
      <c r="D474" s="74" t="s">
        <v>2229</v>
      </c>
      <c r="E474" s="36"/>
      <c r="F474" s="3"/>
      <c r="G474" s="3"/>
      <c r="H474" s="3"/>
      <c r="I474" s="3"/>
      <c r="J474" s="3"/>
      <c r="K474" s="3"/>
      <c r="L474" s="3"/>
      <c r="M474" s="3"/>
      <c r="N474" s="3"/>
      <c r="O474" s="3"/>
      <c r="P474" s="3"/>
      <c r="Q474" s="3"/>
      <c r="R474" s="3"/>
      <c r="S474" s="3"/>
      <c r="T474" s="3"/>
      <c r="U474" s="3"/>
      <c r="V474" s="3"/>
      <c r="W474" s="3"/>
      <c r="X474" s="3"/>
      <c r="Y474" s="3"/>
      <c r="Z474" s="3"/>
    </row>
    <row r="475" spans="1:26">
      <c r="A475" s="131">
        <v>477</v>
      </c>
      <c r="B475" s="74" t="s">
        <v>2230</v>
      </c>
      <c r="C475" s="339">
        <v>44904</v>
      </c>
      <c r="D475" s="74" t="s">
        <v>2231</v>
      </c>
      <c r="E475" s="36"/>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spans="1:26">
      <c r="A476" s="131">
        <v>478</v>
      </c>
      <c r="B476" s="74" t="s">
        <v>1342</v>
      </c>
      <c r="C476" s="339">
        <v>44914</v>
      </c>
      <c r="D476" s="74" t="s">
        <v>1344</v>
      </c>
      <c r="E476" s="36"/>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spans="1:26">
      <c r="A477" s="131">
        <v>479</v>
      </c>
      <c r="B477" s="74" t="s">
        <v>2232</v>
      </c>
      <c r="C477" s="339">
        <v>44918</v>
      </c>
      <c r="D477" s="74" t="s">
        <v>21</v>
      </c>
      <c r="E477" s="36"/>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spans="1:26">
      <c r="A478" s="131">
        <v>480</v>
      </c>
      <c r="B478" s="119" t="s">
        <v>2233</v>
      </c>
      <c r="C478" s="339">
        <v>44939</v>
      </c>
      <c r="D478" s="119" t="s">
        <v>2234</v>
      </c>
      <c r="E478" s="68"/>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spans="1:26">
      <c r="A479" s="131">
        <v>481</v>
      </c>
      <c r="B479" s="119" t="s">
        <v>2235</v>
      </c>
      <c r="C479" s="339">
        <v>44939</v>
      </c>
      <c r="D479" s="119" t="s">
        <v>2234</v>
      </c>
      <c r="E479" s="68"/>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spans="1:26">
      <c r="A480" s="131">
        <v>482</v>
      </c>
      <c r="B480" s="119" t="s">
        <v>2236</v>
      </c>
      <c r="C480" s="339">
        <v>44942</v>
      </c>
      <c r="D480" s="119" t="s">
        <v>2234</v>
      </c>
      <c r="E480" s="68"/>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spans="1:26">
      <c r="A481" s="131">
        <v>483</v>
      </c>
      <c r="B481" s="119" t="s">
        <v>2237</v>
      </c>
      <c r="C481" s="339">
        <v>44942</v>
      </c>
      <c r="D481" s="119" t="s">
        <v>2238</v>
      </c>
      <c r="E481" s="68"/>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spans="1:26">
      <c r="A482" s="131">
        <v>484</v>
      </c>
      <c r="B482" s="119" t="s">
        <v>2239</v>
      </c>
      <c r="C482" s="339">
        <v>44943</v>
      </c>
      <c r="D482" s="119" t="s">
        <v>2240</v>
      </c>
      <c r="E482" s="68"/>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spans="1:26">
      <c r="A483" s="131">
        <v>485</v>
      </c>
      <c r="B483" s="119" t="s">
        <v>2241</v>
      </c>
      <c r="C483" s="339">
        <v>44953</v>
      </c>
      <c r="D483" s="119" t="s">
        <v>2242</v>
      </c>
      <c r="E483" s="68"/>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spans="1:26">
      <c r="A484" s="131">
        <v>486</v>
      </c>
      <c r="B484" s="119" t="s">
        <v>2243</v>
      </c>
      <c r="C484" s="339">
        <v>44953</v>
      </c>
      <c r="D484" s="119" t="s">
        <v>2244</v>
      </c>
      <c r="E484" s="68"/>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spans="1:26">
      <c r="A485" s="131">
        <v>487</v>
      </c>
      <c r="B485" s="119" t="s">
        <v>2245</v>
      </c>
      <c r="C485" s="339">
        <v>44953</v>
      </c>
      <c r="D485" s="119" t="s">
        <v>2244</v>
      </c>
      <c r="E485" s="68"/>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spans="1:26">
      <c r="A486" s="131">
        <v>488</v>
      </c>
      <c r="B486" s="119" t="s">
        <v>2246</v>
      </c>
      <c r="C486" s="339">
        <v>44953</v>
      </c>
      <c r="D486" s="119" t="s">
        <v>2244</v>
      </c>
      <c r="E486" s="68"/>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spans="1:26">
      <c r="A487" s="131">
        <v>489</v>
      </c>
      <c r="B487" s="119" t="s">
        <v>2247</v>
      </c>
      <c r="C487" s="339">
        <v>44953</v>
      </c>
      <c r="D487" s="372" t="s">
        <v>2248</v>
      </c>
      <c r="E487" s="69"/>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spans="1:26">
      <c r="A488" s="131">
        <v>490</v>
      </c>
      <c r="B488" s="119" t="s">
        <v>2249</v>
      </c>
      <c r="C488" s="339">
        <v>44953</v>
      </c>
      <c r="D488" s="372" t="s">
        <v>1416</v>
      </c>
      <c r="E488" s="69"/>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spans="1:26">
      <c r="A489" s="131">
        <v>491</v>
      </c>
      <c r="B489" s="119" t="s">
        <v>2250</v>
      </c>
      <c r="C489" s="339">
        <v>44953</v>
      </c>
      <c r="D489" s="372" t="s">
        <v>1416</v>
      </c>
      <c r="E489" s="69"/>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spans="1:26">
      <c r="A490" s="131">
        <v>492</v>
      </c>
      <c r="B490" s="119" t="s">
        <v>2251</v>
      </c>
      <c r="C490" s="339">
        <v>44970</v>
      </c>
      <c r="D490" s="372" t="s">
        <v>2252</v>
      </c>
      <c r="E490" s="69"/>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spans="1:26">
      <c r="A491" s="131">
        <v>493</v>
      </c>
      <c r="B491" s="119" t="s">
        <v>2253</v>
      </c>
      <c r="C491" s="339">
        <v>45005</v>
      </c>
      <c r="D491" s="372" t="s">
        <v>2254</v>
      </c>
      <c r="E491" s="69"/>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spans="1:26">
      <c r="A492" s="131">
        <v>494</v>
      </c>
      <c r="B492" s="119" t="s">
        <v>2255</v>
      </c>
      <c r="C492" s="339">
        <v>45008</v>
      </c>
      <c r="D492" s="372" t="s">
        <v>2256</v>
      </c>
      <c r="E492" s="69"/>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spans="1:26">
      <c r="A493" s="131">
        <v>495</v>
      </c>
      <c r="B493" s="119" t="s">
        <v>2257</v>
      </c>
      <c r="C493" s="339">
        <v>45015</v>
      </c>
      <c r="D493" s="372" t="s">
        <v>2258</v>
      </c>
      <c r="E493" s="69"/>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spans="1:26">
      <c r="A494" s="131">
        <v>496</v>
      </c>
      <c r="B494" s="119" t="s">
        <v>2259</v>
      </c>
      <c r="C494" s="339">
        <v>45022</v>
      </c>
      <c r="D494" s="372" t="s">
        <v>2260</v>
      </c>
      <c r="E494" s="69"/>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spans="1:26">
      <c r="A495" s="131">
        <v>498</v>
      </c>
      <c r="B495" s="119" t="s">
        <v>2261</v>
      </c>
      <c r="C495" s="339">
        <v>45029</v>
      </c>
      <c r="D495" s="372" t="s">
        <v>2262</v>
      </c>
      <c r="E495" s="69"/>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spans="1:26">
      <c r="A496" s="131">
        <v>499</v>
      </c>
      <c r="B496" s="119" t="s">
        <v>2263</v>
      </c>
      <c r="C496" s="339">
        <v>45030</v>
      </c>
      <c r="D496" s="372" t="s">
        <v>2264</v>
      </c>
      <c r="E496" s="69"/>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spans="1:26">
      <c r="A497" s="131">
        <v>500</v>
      </c>
      <c r="B497" s="119" t="s">
        <v>2265</v>
      </c>
      <c r="C497" s="339">
        <v>45065</v>
      </c>
      <c r="D497" s="372" t="s">
        <v>2266</v>
      </c>
      <c r="E497" s="69"/>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spans="1:26">
      <c r="A498" s="131">
        <v>501</v>
      </c>
      <c r="B498" s="119" t="s">
        <v>2267</v>
      </c>
      <c r="C498" s="339">
        <v>45068</v>
      </c>
      <c r="D498" s="372" t="s">
        <v>2268</v>
      </c>
      <c r="E498" s="69"/>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spans="1:26">
      <c r="A499" s="131">
        <v>502</v>
      </c>
      <c r="B499" s="119" t="s">
        <v>2269</v>
      </c>
      <c r="C499" s="339">
        <v>45069</v>
      </c>
      <c r="D499" s="372" t="s">
        <v>2268</v>
      </c>
      <c r="E499" s="69"/>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spans="1:26">
      <c r="A500" s="131">
        <v>503</v>
      </c>
      <c r="B500" s="119" t="s">
        <v>2270</v>
      </c>
      <c r="C500" s="339">
        <v>45083</v>
      </c>
      <c r="D500" s="372" t="s">
        <v>2271</v>
      </c>
      <c r="E500" s="69"/>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spans="1:26">
      <c r="A501" s="131">
        <v>504</v>
      </c>
      <c r="B501" s="119" t="s">
        <v>2272</v>
      </c>
      <c r="C501" s="339">
        <v>45085</v>
      </c>
      <c r="D501" s="372" t="s">
        <v>1212</v>
      </c>
      <c r="E501" s="69"/>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spans="1:26">
      <c r="A502" s="131">
        <v>505</v>
      </c>
      <c r="B502" s="119" t="s">
        <v>2273</v>
      </c>
      <c r="C502" s="339">
        <v>45105</v>
      </c>
      <c r="D502" s="372" t="s">
        <v>2274</v>
      </c>
      <c r="E502" s="69"/>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spans="1:26">
      <c r="A503" s="131">
        <v>506</v>
      </c>
      <c r="B503" s="119" t="s">
        <v>2275</v>
      </c>
      <c r="C503" s="339">
        <v>45107</v>
      </c>
      <c r="D503" s="372" t="s">
        <v>2276</v>
      </c>
      <c r="E503" s="69"/>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spans="1:26">
      <c r="A504" s="131">
        <v>507</v>
      </c>
      <c r="B504" s="119" t="s">
        <v>2277</v>
      </c>
      <c r="C504" s="339">
        <v>45110</v>
      </c>
      <c r="D504" s="372" t="s">
        <v>2278</v>
      </c>
      <c r="E504" s="69"/>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spans="1:26">
      <c r="A505" s="131">
        <v>508</v>
      </c>
      <c r="B505" s="119" t="s">
        <v>2279</v>
      </c>
      <c r="C505" s="339">
        <v>45117</v>
      </c>
      <c r="D505" s="372" t="s">
        <v>2280</v>
      </c>
      <c r="E505" s="69"/>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spans="1:26">
      <c r="A506" s="131">
        <v>509</v>
      </c>
      <c r="B506" s="119" t="s">
        <v>2281</v>
      </c>
      <c r="C506" s="339">
        <v>45118</v>
      </c>
      <c r="D506" s="372" t="s">
        <v>2282</v>
      </c>
      <c r="E506" s="69"/>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spans="1:26">
      <c r="A507" s="131">
        <v>510</v>
      </c>
      <c r="B507" s="119" t="s">
        <v>2283</v>
      </c>
      <c r="C507" s="339">
        <v>45118</v>
      </c>
      <c r="D507" s="372" t="s">
        <v>2284</v>
      </c>
      <c r="E507" s="69"/>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spans="1:26">
      <c r="A508" s="131">
        <v>511</v>
      </c>
      <c r="B508" s="119" t="s">
        <v>2285</v>
      </c>
      <c r="C508" s="339">
        <v>45119</v>
      </c>
      <c r="D508" s="372" t="s">
        <v>2286</v>
      </c>
      <c r="E508" s="69"/>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spans="1:26">
      <c r="A509" s="131">
        <v>512</v>
      </c>
      <c r="B509" s="119" t="s">
        <v>2287</v>
      </c>
      <c r="C509" s="339">
        <v>45120</v>
      </c>
      <c r="D509" s="372" t="s">
        <v>2288</v>
      </c>
      <c r="E509" s="69"/>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spans="1:26">
      <c r="A510" s="131">
        <v>513</v>
      </c>
      <c r="B510" s="74" t="s">
        <v>2289</v>
      </c>
      <c r="C510" s="339">
        <v>45120</v>
      </c>
      <c r="D510" s="373" t="s">
        <v>2290</v>
      </c>
      <c r="E510" s="70"/>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spans="1:26" ht="28.8">
      <c r="A511" s="131">
        <v>514</v>
      </c>
      <c r="B511" s="74" t="s">
        <v>2291</v>
      </c>
      <c r="C511" s="339">
        <v>45127</v>
      </c>
      <c r="D511" s="373" t="s">
        <v>2292</v>
      </c>
      <c r="E511" s="70"/>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spans="1:26">
      <c r="A512" s="131">
        <v>515</v>
      </c>
      <c r="B512" s="74" t="s">
        <v>2293</v>
      </c>
      <c r="C512" s="339">
        <v>45146</v>
      </c>
      <c r="D512" s="373" t="s">
        <v>2294</v>
      </c>
      <c r="E512" s="70"/>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spans="1:26" ht="28.8">
      <c r="A513" s="131">
        <v>516</v>
      </c>
      <c r="B513" s="74" t="s">
        <v>2295</v>
      </c>
      <c r="C513" s="339">
        <v>45146</v>
      </c>
      <c r="D513" s="373" t="s">
        <v>2296</v>
      </c>
      <c r="E513" s="70"/>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spans="1:26">
      <c r="A514" s="131">
        <v>517</v>
      </c>
      <c r="B514" s="74" t="s">
        <v>2297</v>
      </c>
      <c r="C514" s="339">
        <v>45156</v>
      </c>
      <c r="D514" s="373" t="s">
        <v>2037</v>
      </c>
      <c r="E514" s="70"/>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spans="1:26">
      <c r="A515" s="131">
        <v>518</v>
      </c>
      <c r="B515" s="74" t="s">
        <v>2298</v>
      </c>
      <c r="C515" s="339">
        <v>45161</v>
      </c>
      <c r="D515" s="373" t="s">
        <v>1212</v>
      </c>
      <c r="E515" s="70"/>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spans="1:26">
      <c r="A516" s="131">
        <v>519</v>
      </c>
      <c r="B516" s="74" t="s">
        <v>2299</v>
      </c>
      <c r="C516" s="339">
        <v>45176</v>
      </c>
      <c r="D516" s="373" t="s">
        <v>2300</v>
      </c>
      <c r="E516" s="70"/>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spans="1:26">
      <c r="A517" s="131">
        <v>520</v>
      </c>
      <c r="B517" s="74" t="s">
        <v>1341</v>
      </c>
      <c r="C517" s="339">
        <v>45182</v>
      </c>
      <c r="D517" s="373" t="s">
        <v>2301</v>
      </c>
      <c r="E517" s="70"/>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spans="1:26" ht="15.6" customHeight="1">
      <c r="A518" s="131">
        <v>521</v>
      </c>
      <c r="B518" s="74" t="s">
        <v>2302</v>
      </c>
      <c r="C518" s="339">
        <v>45196</v>
      </c>
      <c r="D518" s="373" t="s">
        <v>2303</v>
      </c>
      <c r="E518" s="70"/>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spans="1:26">
      <c r="A519" s="131">
        <v>522</v>
      </c>
      <c r="B519" s="74" t="s">
        <v>2304</v>
      </c>
      <c r="C519" s="339">
        <v>45202</v>
      </c>
      <c r="D519" s="373" t="s">
        <v>2305</v>
      </c>
      <c r="E519" s="70"/>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spans="1:26">
      <c r="A520" s="131">
        <v>523</v>
      </c>
      <c r="B520" s="74" t="s">
        <v>2306</v>
      </c>
      <c r="C520" s="339">
        <v>45202</v>
      </c>
      <c r="D520" s="373" t="s">
        <v>2305</v>
      </c>
      <c r="E520" s="70"/>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spans="1:26">
      <c r="A521" s="131">
        <v>524</v>
      </c>
      <c r="B521" s="74" t="s">
        <v>2307</v>
      </c>
      <c r="C521" s="339">
        <v>45204</v>
      </c>
      <c r="D521" s="373" t="s">
        <v>2211</v>
      </c>
      <c r="E521" s="70"/>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spans="1:26">
      <c r="A522" s="131">
        <v>525</v>
      </c>
      <c r="B522" s="74" t="s">
        <v>2308</v>
      </c>
      <c r="C522" s="339">
        <v>45209</v>
      </c>
      <c r="D522" s="373" t="s">
        <v>2309</v>
      </c>
      <c r="E522" s="70"/>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spans="1:26">
      <c r="A523" s="131">
        <v>526</v>
      </c>
      <c r="B523" s="2" t="s">
        <v>2310</v>
      </c>
      <c r="C523" s="339">
        <v>45222</v>
      </c>
      <c r="D523" s="373" t="s">
        <v>2311</v>
      </c>
      <c r="E523" s="70"/>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spans="1:26">
      <c r="A524" s="131">
        <v>527</v>
      </c>
      <c r="B524" s="74" t="s">
        <v>2312</v>
      </c>
      <c r="C524" s="339">
        <v>45224</v>
      </c>
      <c r="D524" s="373" t="s">
        <v>2313</v>
      </c>
      <c r="E524" s="70"/>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spans="1:26">
      <c r="A525" s="131">
        <v>528</v>
      </c>
      <c r="B525" s="74" t="s">
        <v>2314</v>
      </c>
      <c r="C525" s="339">
        <v>45238</v>
      </c>
      <c r="D525" s="373" t="s">
        <v>2315</v>
      </c>
      <c r="E525" s="70"/>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spans="1:26">
      <c r="A526" s="131">
        <v>529</v>
      </c>
      <c r="B526" s="74" t="s">
        <v>2316</v>
      </c>
      <c r="C526" s="339">
        <v>45251</v>
      </c>
      <c r="D526" s="373" t="s">
        <v>2317</v>
      </c>
      <c r="E526" s="70"/>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spans="1:26">
      <c r="A527" s="131">
        <v>530</v>
      </c>
      <c r="B527" s="74" t="s">
        <v>2318</v>
      </c>
      <c r="C527" s="339">
        <v>45254</v>
      </c>
      <c r="D527" s="373" t="s">
        <v>2317</v>
      </c>
      <c r="E527" s="70"/>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spans="1:26">
      <c r="A528" s="131">
        <v>531</v>
      </c>
      <c r="B528" s="74" t="s">
        <v>2319</v>
      </c>
      <c r="C528" s="339">
        <v>45254</v>
      </c>
      <c r="D528" s="373" t="s">
        <v>2320</v>
      </c>
      <c r="E528" s="70"/>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spans="1:26">
      <c r="A529" s="131">
        <v>532</v>
      </c>
      <c r="B529" s="74" t="s">
        <v>2321</v>
      </c>
      <c r="C529" s="339">
        <v>45254</v>
      </c>
      <c r="D529" s="373" t="s">
        <v>2322</v>
      </c>
      <c r="E529" s="70"/>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spans="1:26">
      <c r="A530" s="131">
        <v>533</v>
      </c>
      <c r="B530" s="74" t="s">
        <v>2323</v>
      </c>
      <c r="C530" s="339">
        <v>45257</v>
      </c>
      <c r="D530" s="373" t="s">
        <v>2324</v>
      </c>
      <c r="E530" s="70"/>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spans="1:26" s="166" customFormat="1">
      <c r="A531" s="131">
        <v>534</v>
      </c>
      <c r="B531" s="74" t="s">
        <v>1340</v>
      </c>
      <c r="C531" s="339">
        <v>45259</v>
      </c>
      <c r="D531" s="136" t="s">
        <v>21</v>
      </c>
      <c r="E531" s="136"/>
      <c r="F531" s="109"/>
      <c r="G531" s="172"/>
      <c r="H531" s="172"/>
      <c r="I531" s="172"/>
      <c r="J531" s="172"/>
      <c r="K531" s="172"/>
      <c r="L531" s="172"/>
      <c r="M531" s="172"/>
      <c r="N531" s="172"/>
      <c r="O531" s="172"/>
      <c r="P531" s="172"/>
      <c r="Q531" s="172"/>
      <c r="R531" s="172"/>
      <c r="S531" s="172"/>
      <c r="T531" s="172"/>
      <c r="U531" s="172"/>
      <c r="V531" s="172"/>
      <c r="W531" s="172"/>
      <c r="X531" s="172"/>
      <c r="Y531" s="172"/>
      <c r="Z531" s="172"/>
    </row>
    <row r="532" spans="1:26">
      <c r="A532" s="131">
        <v>535</v>
      </c>
      <c r="B532" s="74" t="s">
        <v>2325</v>
      </c>
      <c r="C532" s="339">
        <v>45259</v>
      </c>
      <c r="D532" s="373" t="s">
        <v>2326</v>
      </c>
      <c r="E532" s="70"/>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spans="1:26">
      <c r="A533" s="131">
        <v>536</v>
      </c>
      <c r="B533" s="74" t="s">
        <v>2327</v>
      </c>
      <c r="C533" s="339">
        <v>45260</v>
      </c>
      <c r="D533" s="373" t="s">
        <v>2328</v>
      </c>
      <c r="E533" s="70"/>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spans="1:26">
      <c r="A534" s="131">
        <v>537</v>
      </c>
      <c r="B534" s="74" t="s">
        <v>2329</v>
      </c>
      <c r="C534" s="339">
        <v>45264</v>
      </c>
      <c r="D534" s="373" t="s">
        <v>2330</v>
      </c>
      <c r="E534" s="70"/>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spans="1:26">
      <c r="A535" s="131">
        <v>538</v>
      </c>
      <c r="B535" s="74" t="s">
        <v>2331</v>
      </c>
      <c r="C535" s="339">
        <v>45265</v>
      </c>
      <c r="D535" s="276" t="s">
        <v>2330</v>
      </c>
      <c r="E535" s="52"/>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spans="1:26">
      <c r="A536" s="131">
        <v>540</v>
      </c>
      <c r="B536" s="74" t="s">
        <v>2332</v>
      </c>
      <c r="C536" s="339">
        <v>45266</v>
      </c>
      <c r="D536" s="276" t="s">
        <v>2333</v>
      </c>
      <c r="E536" s="52"/>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spans="1:26">
      <c r="A537" s="131">
        <v>541</v>
      </c>
      <c r="B537" s="74" t="s">
        <v>2334</v>
      </c>
      <c r="C537" s="339">
        <v>45274</v>
      </c>
      <c r="D537" s="276" t="s">
        <v>2335</v>
      </c>
      <c r="E537" s="52"/>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spans="1:26">
      <c r="A538" s="131">
        <v>542</v>
      </c>
      <c r="B538" s="74" t="s">
        <v>2336</v>
      </c>
      <c r="C538" s="339">
        <v>45275</v>
      </c>
      <c r="D538" s="276" t="s">
        <v>2337</v>
      </c>
      <c r="E538" s="52"/>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spans="1:26">
      <c r="A539" s="131">
        <v>543</v>
      </c>
      <c r="B539" s="74" t="s">
        <v>2338</v>
      </c>
      <c r="C539" s="339">
        <v>45279</v>
      </c>
      <c r="D539" s="276" t="s">
        <v>2339</v>
      </c>
      <c r="E539" s="52"/>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spans="1:26">
      <c r="A540" s="131">
        <v>544</v>
      </c>
      <c r="B540" s="74" t="s">
        <v>1334</v>
      </c>
      <c r="C540" s="339">
        <v>45281</v>
      </c>
      <c r="D540" s="276" t="s">
        <v>1336</v>
      </c>
      <c r="E540" s="52"/>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spans="1:26">
      <c r="A541" s="131">
        <v>545</v>
      </c>
      <c r="B541" s="74" t="s">
        <v>2340</v>
      </c>
      <c r="C541" s="339">
        <v>45289</v>
      </c>
      <c r="D541" s="276" t="s">
        <v>21</v>
      </c>
      <c r="E541" s="52"/>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spans="1:26">
      <c r="A542" s="131">
        <v>546</v>
      </c>
      <c r="B542" s="74" t="s">
        <v>2341</v>
      </c>
      <c r="C542" s="339">
        <v>45293</v>
      </c>
      <c r="D542" s="276" t="s">
        <v>2342</v>
      </c>
      <c r="E542" s="52"/>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spans="1:26" ht="28.8">
      <c r="A543" s="131">
        <v>547</v>
      </c>
      <c r="B543" s="74" t="s">
        <v>2343</v>
      </c>
      <c r="C543" s="339">
        <v>45310</v>
      </c>
      <c r="D543" s="74" t="s">
        <v>2344</v>
      </c>
      <c r="E543" s="52"/>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spans="1:26">
      <c r="A544" s="131">
        <v>548</v>
      </c>
      <c r="B544" s="74" t="s">
        <v>2345</v>
      </c>
      <c r="C544" s="339">
        <v>45314</v>
      </c>
      <c r="D544" s="276" t="s">
        <v>1416</v>
      </c>
      <c r="E544" s="52"/>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spans="1:26">
      <c r="A545" s="131">
        <v>549</v>
      </c>
      <c r="B545" s="74" t="s">
        <v>2346</v>
      </c>
      <c r="C545" s="339">
        <v>45316</v>
      </c>
      <c r="D545" s="276" t="s">
        <v>1416</v>
      </c>
      <c r="E545" s="52"/>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spans="1:26">
      <c r="A546" s="131">
        <v>550</v>
      </c>
      <c r="B546" s="74" t="s">
        <v>2347</v>
      </c>
      <c r="C546" s="339">
        <v>45320</v>
      </c>
      <c r="D546" s="276" t="s">
        <v>1416</v>
      </c>
      <c r="E546" s="52"/>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spans="1:26">
      <c r="A547" s="131">
        <v>551</v>
      </c>
      <c r="B547" s="74" t="s">
        <v>2348</v>
      </c>
      <c r="C547" s="339">
        <v>45322</v>
      </c>
      <c r="D547" s="276" t="s">
        <v>1416</v>
      </c>
      <c r="E547" s="52"/>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spans="1:26">
      <c r="A548" s="131">
        <v>552</v>
      </c>
      <c r="B548" s="74" t="s">
        <v>2349</v>
      </c>
      <c r="C548" s="339">
        <v>45327</v>
      </c>
      <c r="D548" s="276" t="s">
        <v>2350</v>
      </c>
      <c r="E548" s="52"/>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spans="1:26">
      <c r="A549" s="131">
        <v>553</v>
      </c>
      <c r="B549" s="74" t="s">
        <v>2351</v>
      </c>
      <c r="C549" s="339">
        <v>45328</v>
      </c>
      <c r="D549" s="276" t="s">
        <v>2352</v>
      </c>
      <c r="E549" s="52"/>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spans="1:26">
      <c r="A550" s="131">
        <v>554</v>
      </c>
      <c r="B550" s="74" t="s">
        <v>2353</v>
      </c>
      <c r="C550" s="339">
        <v>45328</v>
      </c>
      <c r="D550" s="276" t="s">
        <v>2354</v>
      </c>
      <c r="E550" s="52"/>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spans="1:26" s="166" customFormat="1">
      <c r="A551" s="131">
        <v>555</v>
      </c>
      <c r="B551" s="74" t="s">
        <v>1333</v>
      </c>
      <c r="C551" s="339">
        <v>45329</v>
      </c>
      <c r="D551" s="276" t="s">
        <v>21</v>
      </c>
      <c r="E551" s="136"/>
      <c r="F551" s="109"/>
      <c r="G551" s="172"/>
      <c r="H551" s="172"/>
      <c r="I551" s="172"/>
      <c r="J551" s="172"/>
      <c r="K551" s="172"/>
      <c r="L551" s="172"/>
      <c r="M551" s="172"/>
      <c r="N551" s="172"/>
      <c r="O551" s="172"/>
      <c r="P551" s="172"/>
      <c r="Q551" s="172"/>
      <c r="R551" s="172"/>
      <c r="S551" s="172"/>
      <c r="T551" s="172"/>
      <c r="U551" s="172"/>
      <c r="V551" s="172"/>
      <c r="W551" s="172"/>
      <c r="X551" s="172"/>
      <c r="Y551" s="172"/>
      <c r="Z551" s="172"/>
    </row>
    <row r="552" spans="1:26">
      <c r="A552" s="131">
        <v>556</v>
      </c>
      <c r="B552" s="74" t="s">
        <v>2355</v>
      </c>
      <c r="C552" s="339">
        <v>45341</v>
      </c>
      <c r="D552" s="276" t="s">
        <v>2356</v>
      </c>
      <c r="E552" s="52"/>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spans="1:26">
      <c r="A553" s="131">
        <v>557</v>
      </c>
      <c r="B553" s="74" t="s">
        <v>2357</v>
      </c>
      <c r="C553" s="339">
        <v>45349</v>
      </c>
      <c r="D553" s="276" t="s">
        <v>2358</v>
      </c>
      <c r="E553" s="52"/>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spans="1:26">
      <c r="A554" s="131">
        <v>558</v>
      </c>
      <c r="B554" s="74" t="s">
        <v>2359</v>
      </c>
      <c r="C554" s="339">
        <v>45350</v>
      </c>
      <c r="D554" s="276" t="s">
        <v>2356</v>
      </c>
      <c r="E554" s="52"/>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spans="1:26">
      <c r="A555" s="131">
        <v>559</v>
      </c>
      <c r="B555" s="74" t="s">
        <v>2360</v>
      </c>
      <c r="C555" s="339">
        <v>45352</v>
      </c>
      <c r="D555" s="276" t="s">
        <v>2361</v>
      </c>
      <c r="E555" s="52"/>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spans="1:26">
      <c r="A556" s="131">
        <v>560</v>
      </c>
      <c r="B556" s="74" t="s">
        <v>2362</v>
      </c>
      <c r="C556" s="339">
        <v>45352</v>
      </c>
      <c r="D556" s="276" t="s">
        <v>1416</v>
      </c>
      <c r="E556" s="52"/>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spans="1:26">
      <c r="A557" s="131">
        <v>561</v>
      </c>
      <c r="B557" s="74" t="s">
        <v>2363</v>
      </c>
      <c r="C557" s="339">
        <v>45357</v>
      </c>
      <c r="D557" s="276" t="s">
        <v>2364</v>
      </c>
      <c r="E557" s="52"/>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spans="1:26">
      <c r="A558" s="131">
        <v>562</v>
      </c>
      <c r="B558" s="74" t="s">
        <v>2365</v>
      </c>
      <c r="C558" s="339">
        <v>45358</v>
      </c>
      <c r="D558" s="276" t="s">
        <v>2366</v>
      </c>
      <c r="E558" s="52"/>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spans="1:26">
      <c r="A559" s="131">
        <v>563</v>
      </c>
      <c r="B559" s="74" t="s">
        <v>2367</v>
      </c>
      <c r="C559" s="339">
        <v>45363</v>
      </c>
      <c r="D559" s="276" t="s">
        <v>2368</v>
      </c>
      <c r="E559" s="52"/>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spans="1:26">
      <c r="A560" s="131">
        <v>564</v>
      </c>
      <c r="B560" s="74" t="s">
        <v>1328</v>
      </c>
      <c r="C560" s="339">
        <v>45373</v>
      </c>
      <c r="D560" s="276" t="s">
        <v>1330</v>
      </c>
      <c r="E560" s="52"/>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spans="1:26">
      <c r="A561" s="131">
        <v>565</v>
      </c>
      <c r="B561" s="74" t="s">
        <v>2369</v>
      </c>
      <c r="C561" s="339">
        <v>45397</v>
      </c>
      <c r="D561" s="276" t="s">
        <v>2370</v>
      </c>
      <c r="E561" s="52"/>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spans="1:26">
      <c r="A562" s="131">
        <v>566</v>
      </c>
      <c r="B562" s="74" t="s">
        <v>2371</v>
      </c>
      <c r="C562" s="339">
        <v>45397</v>
      </c>
      <c r="D562" s="276" t="s">
        <v>2372</v>
      </c>
      <c r="E562" s="52"/>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spans="1:26">
      <c r="A563" s="131">
        <v>567</v>
      </c>
      <c r="B563" s="74" t="s">
        <v>2373</v>
      </c>
      <c r="C563" s="339">
        <v>45397</v>
      </c>
      <c r="D563" s="276" t="s">
        <v>2374</v>
      </c>
      <c r="E563" s="52"/>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spans="1:26">
      <c r="A564" s="131">
        <v>568</v>
      </c>
      <c r="B564" s="74" t="s">
        <v>2375</v>
      </c>
      <c r="C564" s="339">
        <v>45404</v>
      </c>
      <c r="D564" s="276" t="s">
        <v>2376</v>
      </c>
      <c r="E564" s="52"/>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spans="1:26">
      <c r="A565" s="131">
        <v>569</v>
      </c>
      <c r="B565" s="74" t="s">
        <v>2377</v>
      </c>
      <c r="C565" s="339">
        <v>45405</v>
      </c>
      <c r="D565" s="276" t="s">
        <v>2378</v>
      </c>
      <c r="E565" s="52"/>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spans="1:26">
      <c r="A566" s="131">
        <v>570</v>
      </c>
      <c r="B566" s="74" t="s">
        <v>2379</v>
      </c>
      <c r="C566" s="339">
        <v>45407</v>
      </c>
      <c r="D566" s="276" t="s">
        <v>2380</v>
      </c>
      <c r="E566" s="52"/>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spans="1:26">
      <c r="A567" s="131">
        <v>571</v>
      </c>
      <c r="B567" s="74" t="s">
        <v>2381</v>
      </c>
      <c r="C567" s="339">
        <v>45411</v>
      </c>
      <c r="D567" s="276" t="s">
        <v>2382</v>
      </c>
      <c r="E567" s="52"/>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spans="1:26">
      <c r="A568" s="131">
        <v>572</v>
      </c>
      <c r="B568" s="74" t="s">
        <v>2383</v>
      </c>
      <c r="C568" s="339">
        <v>45413</v>
      </c>
      <c r="D568" s="276" t="s">
        <v>2384</v>
      </c>
      <c r="E568" s="52"/>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spans="1:26">
      <c r="A569" s="131">
        <v>573</v>
      </c>
      <c r="B569" s="74" t="s">
        <v>2385</v>
      </c>
      <c r="C569" s="339">
        <v>45422</v>
      </c>
      <c r="D569" s="276" t="s">
        <v>2386</v>
      </c>
      <c r="E569" s="52"/>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spans="1:26">
      <c r="A570" s="131">
        <v>574</v>
      </c>
      <c r="B570" s="74" t="s">
        <v>2387</v>
      </c>
      <c r="C570" s="339">
        <v>45426</v>
      </c>
      <c r="D570" s="276" t="s">
        <v>2384</v>
      </c>
      <c r="E570" s="52"/>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spans="1:26">
      <c r="A571" s="131">
        <v>575</v>
      </c>
      <c r="B571" s="74" t="s">
        <v>2388</v>
      </c>
      <c r="C571" s="339">
        <v>45426</v>
      </c>
      <c r="D571" s="276" t="s">
        <v>2389</v>
      </c>
      <c r="E571" s="52"/>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spans="1:26">
      <c r="A572" s="131">
        <v>576</v>
      </c>
      <c r="B572" s="74" t="s">
        <v>2390</v>
      </c>
      <c r="C572" s="339">
        <v>45427</v>
      </c>
      <c r="D572" s="276" t="s">
        <v>2391</v>
      </c>
      <c r="E572" s="52"/>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spans="1:26" ht="15" customHeight="1">
      <c r="A573" s="131">
        <v>577</v>
      </c>
      <c r="B573" s="74" t="s">
        <v>2392</v>
      </c>
      <c r="C573" s="339">
        <v>45436</v>
      </c>
      <c r="D573" s="74" t="s">
        <v>2393</v>
      </c>
      <c r="E573" s="52"/>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spans="1:26">
      <c r="A574" s="131">
        <v>578</v>
      </c>
      <c r="B574" s="74" t="s">
        <v>2394</v>
      </c>
      <c r="C574" s="339">
        <v>45446</v>
      </c>
      <c r="D574" s="276" t="s">
        <v>2395</v>
      </c>
      <c r="E574" s="52"/>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spans="1:26">
      <c r="A575" s="131">
        <v>579</v>
      </c>
      <c r="B575" s="74" t="s">
        <v>2396</v>
      </c>
      <c r="C575" s="339">
        <v>45447</v>
      </c>
      <c r="D575" s="276" t="s">
        <v>2397</v>
      </c>
      <c r="E575" s="52"/>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spans="1:26" ht="28.8">
      <c r="A576" s="131">
        <v>580</v>
      </c>
      <c r="B576" s="74" t="s">
        <v>2398</v>
      </c>
      <c r="C576" s="339">
        <v>45448</v>
      </c>
      <c r="D576" s="276" t="s">
        <v>2399</v>
      </c>
      <c r="E576" s="52"/>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spans="1:26">
      <c r="A577" s="131">
        <v>581</v>
      </c>
      <c r="B577" s="74" t="s">
        <v>2400</v>
      </c>
      <c r="C577" s="339">
        <v>45485</v>
      </c>
      <c r="D577" s="74" t="s">
        <v>2401</v>
      </c>
      <c r="E577" s="110"/>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spans="1:26">
      <c r="A578" s="131">
        <v>582</v>
      </c>
      <c r="B578" s="74" t="s">
        <v>2402</v>
      </c>
      <c r="C578" s="339">
        <v>45495</v>
      </c>
      <c r="D578" s="276" t="s">
        <v>21</v>
      </c>
      <c r="E578" s="52"/>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spans="1:26" s="166" customFormat="1">
      <c r="A579" s="131">
        <v>583</v>
      </c>
      <c r="B579" s="74" t="s">
        <v>2403</v>
      </c>
      <c r="C579" s="339">
        <v>45503</v>
      </c>
      <c r="D579" s="276" t="s">
        <v>1327</v>
      </c>
      <c r="E579" s="136"/>
      <c r="F579" s="133"/>
      <c r="G579" s="172"/>
      <c r="H579" s="172"/>
      <c r="I579" s="172"/>
      <c r="J579" s="172"/>
      <c r="K579" s="172"/>
      <c r="L579" s="172"/>
      <c r="M579" s="172"/>
      <c r="N579" s="172"/>
      <c r="O579" s="172"/>
      <c r="P579" s="172"/>
      <c r="Q579" s="172"/>
      <c r="R579" s="172"/>
      <c r="S579" s="172"/>
      <c r="T579" s="172"/>
      <c r="U579" s="172"/>
      <c r="V579" s="172"/>
      <c r="W579" s="172"/>
      <c r="X579" s="172"/>
      <c r="Y579" s="172"/>
      <c r="Z579" s="172"/>
    </row>
    <row r="580" spans="1:26">
      <c r="A580" s="131">
        <v>584</v>
      </c>
      <c r="B580" s="74" t="s">
        <v>1457</v>
      </c>
      <c r="C580" s="339">
        <v>45503</v>
      </c>
      <c r="D580" s="276" t="s">
        <v>1459</v>
      </c>
      <c r="E580" s="52"/>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spans="1:26">
      <c r="A581" s="131">
        <v>587</v>
      </c>
      <c r="B581" s="74" t="s">
        <v>2404</v>
      </c>
      <c r="C581" s="339">
        <v>45540</v>
      </c>
      <c r="D581" s="276" t="s">
        <v>2405</v>
      </c>
      <c r="E581" s="52"/>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spans="1:26">
      <c r="A582" s="131">
        <v>588</v>
      </c>
      <c r="B582" s="74" t="s">
        <v>2406</v>
      </c>
      <c r="C582" s="339">
        <v>45551</v>
      </c>
      <c r="D582" s="276" t="s">
        <v>2407</v>
      </c>
      <c r="E582" s="52"/>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spans="1:26">
      <c r="A583" s="131">
        <v>589</v>
      </c>
      <c r="B583" s="74" t="s">
        <v>2408</v>
      </c>
      <c r="C583" s="339">
        <v>45552</v>
      </c>
      <c r="D583" s="276" t="s">
        <v>2409</v>
      </c>
      <c r="E583" s="52"/>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spans="1:26">
      <c r="A584" s="131">
        <v>590</v>
      </c>
      <c r="B584" s="74" t="s">
        <v>2410</v>
      </c>
      <c r="C584" s="339">
        <v>45553</v>
      </c>
      <c r="D584" s="276" t="s">
        <v>2411</v>
      </c>
      <c r="E584" s="52"/>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spans="1:26">
      <c r="A585" s="131">
        <v>592</v>
      </c>
      <c r="B585" s="74" t="s">
        <v>1455</v>
      </c>
      <c r="C585" s="339">
        <v>45559</v>
      </c>
      <c r="D585" s="276" t="s">
        <v>1456</v>
      </c>
      <c r="E585" s="52"/>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spans="1:26">
      <c r="A586" s="131">
        <v>593</v>
      </c>
      <c r="B586" s="74" t="s">
        <v>2412</v>
      </c>
      <c r="C586" s="339">
        <v>45569</v>
      </c>
      <c r="D586" s="276" t="s">
        <v>2413</v>
      </c>
      <c r="E586" s="52"/>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spans="1:26">
      <c r="A587" s="131">
        <v>594</v>
      </c>
      <c r="B587" s="74" t="s">
        <v>2414</v>
      </c>
      <c r="C587" s="339">
        <v>45569</v>
      </c>
      <c r="D587" s="276" t="s">
        <v>2413</v>
      </c>
      <c r="E587" s="52"/>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spans="1:26">
      <c r="A588" s="131">
        <v>595</v>
      </c>
      <c r="B588" s="74" t="s">
        <v>2415</v>
      </c>
      <c r="C588" s="339">
        <v>45569</v>
      </c>
      <c r="D588" s="276" t="s">
        <v>2413</v>
      </c>
      <c r="E588" s="52"/>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spans="1:26">
      <c r="A589" s="131">
        <v>596</v>
      </c>
      <c r="B589" s="74" t="s">
        <v>2416</v>
      </c>
      <c r="C589" s="339">
        <v>45576</v>
      </c>
      <c r="D589" s="276" t="s">
        <v>2417</v>
      </c>
      <c r="E589" s="52"/>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spans="1:26">
      <c r="A590" s="131">
        <v>597</v>
      </c>
      <c r="B590" s="74" t="s">
        <v>2418</v>
      </c>
      <c r="C590" s="339">
        <v>45579</v>
      </c>
      <c r="D590" s="276" t="s">
        <v>2419</v>
      </c>
      <c r="E590" s="52"/>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spans="1:26">
      <c r="A591" s="131">
        <v>598</v>
      </c>
      <c r="B591" s="74" t="s">
        <v>1453</v>
      </c>
      <c r="C591" s="339">
        <v>45580</v>
      </c>
      <c r="D591" s="276" t="s">
        <v>1454</v>
      </c>
      <c r="E591" s="52"/>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spans="1:26">
      <c r="A592" s="131">
        <v>599</v>
      </c>
      <c r="B592" s="74" t="s">
        <v>2420</v>
      </c>
      <c r="C592" s="339">
        <v>45588</v>
      </c>
      <c r="D592" s="276" t="s">
        <v>2421</v>
      </c>
      <c r="E592" s="52"/>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spans="1:26">
      <c r="A593" s="131">
        <v>600</v>
      </c>
      <c r="B593" s="74" t="s">
        <v>2422</v>
      </c>
      <c r="C593" s="339">
        <v>45590</v>
      </c>
      <c r="D593" s="276" t="s">
        <v>2423</v>
      </c>
      <c r="E593" s="52"/>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spans="1:26">
      <c r="A594" s="131">
        <v>601</v>
      </c>
      <c r="B594" s="74" t="s">
        <v>2424</v>
      </c>
      <c r="C594" s="339">
        <v>45590</v>
      </c>
      <c r="D594" s="276" t="s">
        <v>2423</v>
      </c>
      <c r="E594" s="52"/>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spans="1:26" s="166" customFormat="1" ht="12.6" customHeight="1">
      <c r="A595" s="131">
        <v>602</v>
      </c>
      <c r="B595" s="74" t="s">
        <v>1315</v>
      </c>
      <c r="C595" s="339">
        <v>45603</v>
      </c>
      <c r="D595" s="276" t="s">
        <v>1316</v>
      </c>
      <c r="E595" s="136"/>
      <c r="F595" s="109"/>
      <c r="G595" s="172"/>
      <c r="H595" s="172"/>
      <c r="I595" s="172"/>
      <c r="J595" s="172"/>
      <c r="K595" s="172"/>
      <c r="L595" s="172"/>
      <c r="M595" s="172"/>
      <c r="N595" s="172"/>
      <c r="O595" s="172"/>
      <c r="P595" s="172"/>
      <c r="Q595" s="172"/>
      <c r="R595" s="172"/>
      <c r="S595" s="172"/>
      <c r="T595" s="172"/>
      <c r="U595" s="172"/>
      <c r="V595" s="172"/>
      <c r="W595" s="172"/>
      <c r="X595" s="172"/>
      <c r="Y595" s="172"/>
      <c r="Z595" s="172"/>
    </row>
    <row r="596" spans="1:26">
      <c r="A596" s="131">
        <v>603</v>
      </c>
      <c r="B596" s="74" t="s">
        <v>2425</v>
      </c>
      <c r="C596" s="339">
        <v>45607</v>
      </c>
      <c r="D596" s="276" t="s">
        <v>2426</v>
      </c>
      <c r="E596" s="52"/>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spans="1:26">
      <c r="A597" s="131">
        <v>604</v>
      </c>
      <c r="B597" s="74" t="s">
        <v>2427</v>
      </c>
      <c r="C597" s="339">
        <v>45607</v>
      </c>
      <c r="D597" s="276" t="s">
        <v>2426</v>
      </c>
      <c r="E597" s="52"/>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spans="1:26">
      <c r="A598" s="131">
        <v>605</v>
      </c>
      <c r="B598" s="74" t="s">
        <v>2428</v>
      </c>
      <c r="C598" s="339">
        <v>45609</v>
      </c>
      <c r="D598" s="276" t="s">
        <v>2429</v>
      </c>
      <c r="E598" s="52"/>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spans="1:26">
      <c r="A599" s="131">
        <v>606</v>
      </c>
      <c r="B599" s="74" t="s">
        <v>1450</v>
      </c>
      <c r="C599" s="339">
        <v>45610</v>
      </c>
      <c r="D599" s="276" t="s">
        <v>2430</v>
      </c>
      <c r="E599" s="52"/>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spans="1:26">
      <c r="A600" s="131">
        <v>608</v>
      </c>
      <c r="B600" s="74" t="s">
        <v>1309</v>
      </c>
      <c r="C600" s="339">
        <v>45629</v>
      </c>
      <c r="D600" s="276" t="s">
        <v>1311</v>
      </c>
      <c r="E600" s="52"/>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spans="1:26">
      <c r="A601" s="131">
        <v>610</v>
      </c>
      <c r="B601" s="74" t="s">
        <v>1306</v>
      </c>
      <c r="C601" s="339">
        <v>45693</v>
      </c>
      <c r="D601" s="276" t="s">
        <v>1308</v>
      </c>
      <c r="E601" s="52"/>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spans="1:26">
      <c r="A602" s="131">
        <v>611</v>
      </c>
      <c r="B602" s="74" t="s">
        <v>2431</v>
      </c>
      <c r="C602" s="339">
        <v>45701</v>
      </c>
      <c r="D602" s="276" t="s">
        <v>2432</v>
      </c>
      <c r="E602" s="52"/>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spans="1:26">
      <c r="A603" s="131">
        <v>612</v>
      </c>
      <c r="B603" s="74" t="s">
        <v>2433</v>
      </c>
      <c r="C603" s="339">
        <v>45701</v>
      </c>
      <c r="D603" s="276" t="s">
        <v>2434</v>
      </c>
      <c r="E603" s="52"/>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spans="1:26">
      <c r="A604" s="131">
        <v>613</v>
      </c>
      <c r="B604" s="74" t="s">
        <v>2435</v>
      </c>
      <c r="C604" s="339">
        <v>45713</v>
      </c>
      <c r="D604" s="276" t="s">
        <v>2436</v>
      </c>
      <c r="E604" s="52"/>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spans="1:26">
      <c r="A605" s="131">
        <v>614</v>
      </c>
      <c r="B605" s="74" t="s">
        <v>1299</v>
      </c>
      <c r="C605" s="339">
        <v>45719</v>
      </c>
      <c r="D605" s="276" t="s">
        <v>1300</v>
      </c>
      <c r="E605" s="52"/>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spans="1:26">
      <c r="A606" s="131">
        <v>615</v>
      </c>
      <c r="B606" s="74" t="s">
        <v>1296</v>
      </c>
      <c r="C606" s="339">
        <v>45719</v>
      </c>
      <c r="D606" s="276" t="s">
        <v>1298</v>
      </c>
      <c r="E606" s="52"/>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spans="1:26">
      <c r="A607" s="131">
        <v>616</v>
      </c>
      <c r="B607" s="74" t="s">
        <v>1295</v>
      </c>
      <c r="C607" s="339">
        <v>45719</v>
      </c>
      <c r="D607" s="276" t="s">
        <v>1300</v>
      </c>
      <c r="E607" s="52"/>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spans="1:26">
      <c r="A608" s="131">
        <v>617</v>
      </c>
      <c r="B608" s="74" t="s">
        <v>1293</v>
      </c>
      <c r="C608" s="339">
        <v>45729</v>
      </c>
      <c r="D608" s="276" t="s">
        <v>1294</v>
      </c>
      <c r="E608" s="52"/>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spans="1:26" ht="28.8">
      <c r="A609" s="131">
        <v>618</v>
      </c>
      <c r="B609" s="74" t="s">
        <v>2437</v>
      </c>
      <c r="C609" s="339">
        <v>45734</v>
      </c>
      <c r="D609" s="276" t="s">
        <v>2438</v>
      </c>
      <c r="E609" s="52"/>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spans="1:26">
      <c r="A610" s="131">
        <v>619</v>
      </c>
      <c r="B610" s="374" t="s">
        <v>2439</v>
      </c>
      <c r="C610" s="339">
        <v>45736</v>
      </c>
      <c r="D610" s="276" t="s">
        <v>2440</v>
      </c>
      <c r="E610" s="52"/>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spans="1:26">
      <c r="A611" s="131">
        <v>620</v>
      </c>
      <c r="B611" s="74" t="s">
        <v>1290</v>
      </c>
      <c r="C611" s="339">
        <v>45743</v>
      </c>
      <c r="D611" s="276" t="s">
        <v>2441</v>
      </c>
      <c r="E611" s="52"/>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spans="1:26">
      <c r="A612" s="131">
        <v>621</v>
      </c>
      <c r="B612" s="116" t="s">
        <v>2442</v>
      </c>
      <c r="C612" s="375">
        <v>45748</v>
      </c>
      <c r="D612" s="376" t="s">
        <v>2443</v>
      </c>
      <c r="E612" s="52"/>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spans="1:26" s="37" customFormat="1">
      <c r="A613" s="131">
        <v>622</v>
      </c>
      <c r="B613" s="117" t="s">
        <v>2444</v>
      </c>
      <c r="C613" s="339">
        <v>45749</v>
      </c>
      <c r="D613" s="117" t="s">
        <v>2443</v>
      </c>
      <c r="E613" s="71"/>
      <c r="F613" s="134"/>
      <c r="G613" s="134"/>
      <c r="H613" s="134"/>
      <c r="I613" s="134"/>
      <c r="J613" s="134"/>
      <c r="K613" s="134"/>
      <c r="L613" s="134"/>
      <c r="M613" s="134"/>
      <c r="N613" s="134"/>
      <c r="O613" s="134"/>
      <c r="P613" s="134"/>
      <c r="Q613" s="134"/>
      <c r="R613" s="134"/>
      <c r="S613" s="134"/>
      <c r="T613" s="134"/>
      <c r="U613" s="134"/>
      <c r="V613" s="134"/>
      <c r="W613" s="134"/>
      <c r="X613" s="134"/>
      <c r="Y613" s="134"/>
      <c r="Z613" s="134"/>
    </row>
    <row r="614" spans="1:26" s="37" customFormat="1">
      <c r="A614" s="131">
        <v>623</v>
      </c>
      <c r="B614" s="89" t="s">
        <v>2445</v>
      </c>
      <c r="C614" s="339">
        <v>45757</v>
      </c>
      <c r="D614" s="92" t="s">
        <v>2446</v>
      </c>
      <c r="E614" s="71"/>
      <c r="F614" s="134"/>
      <c r="G614" s="134"/>
      <c r="H614" s="134"/>
      <c r="I614" s="134"/>
      <c r="J614" s="134"/>
      <c r="K614" s="134"/>
      <c r="L614" s="134"/>
      <c r="M614" s="134"/>
      <c r="N614" s="134"/>
      <c r="O614" s="134"/>
      <c r="P614" s="134"/>
      <c r="Q614" s="134"/>
      <c r="R614" s="134"/>
      <c r="S614" s="134"/>
      <c r="T614" s="134"/>
      <c r="U614" s="134"/>
      <c r="V614" s="134"/>
      <c r="W614" s="134"/>
      <c r="X614" s="134"/>
      <c r="Y614" s="134"/>
      <c r="Z614" s="134"/>
    </row>
    <row r="615" spans="1:26" s="37" customFormat="1">
      <c r="A615" s="131">
        <v>624</v>
      </c>
      <c r="B615" s="89" t="s">
        <v>1287</v>
      </c>
      <c r="C615" s="339">
        <v>45763</v>
      </c>
      <c r="D615" s="92" t="s">
        <v>1289</v>
      </c>
      <c r="E615" s="71"/>
      <c r="F615" s="134"/>
      <c r="G615" s="134"/>
      <c r="H615" s="134"/>
      <c r="I615" s="134"/>
      <c r="J615" s="134"/>
      <c r="K615" s="134"/>
      <c r="L615" s="134"/>
      <c r="M615" s="134"/>
      <c r="N615" s="134"/>
      <c r="O615" s="134"/>
      <c r="P615" s="134"/>
      <c r="Q615" s="134"/>
      <c r="R615" s="134"/>
      <c r="S615" s="134"/>
      <c r="T615" s="134"/>
      <c r="U615" s="134"/>
      <c r="V615" s="134"/>
      <c r="W615" s="134"/>
      <c r="X615" s="134"/>
      <c r="Y615" s="134"/>
      <c r="Z615" s="134"/>
    </row>
    <row r="616" spans="1:26" s="37" customFormat="1">
      <c r="A616" s="131">
        <v>625</v>
      </c>
      <c r="B616" s="89" t="s">
        <v>1284</v>
      </c>
      <c r="C616" s="339">
        <v>45769</v>
      </c>
      <c r="D616" s="92" t="s">
        <v>1286</v>
      </c>
      <c r="E616" s="71"/>
      <c r="F616" s="134"/>
      <c r="G616" s="134"/>
      <c r="H616" s="134"/>
      <c r="I616" s="134"/>
      <c r="J616" s="134"/>
      <c r="K616" s="134"/>
      <c r="L616" s="134"/>
      <c r="M616" s="134"/>
      <c r="N616" s="134"/>
      <c r="O616" s="134"/>
      <c r="P616" s="134"/>
      <c r="Q616" s="134"/>
      <c r="R616" s="134"/>
      <c r="S616" s="134"/>
      <c r="T616" s="134"/>
      <c r="U616" s="134"/>
      <c r="V616" s="134"/>
      <c r="W616" s="134"/>
      <c r="X616" s="134"/>
      <c r="Y616" s="134"/>
      <c r="Z616" s="134"/>
    </row>
    <row r="617" spans="1:26" s="37" customFormat="1">
      <c r="A617" s="131">
        <v>626</v>
      </c>
      <c r="B617" s="89" t="s">
        <v>1281</v>
      </c>
      <c r="C617" s="339">
        <v>45770</v>
      </c>
      <c r="D617" s="92" t="s">
        <v>1283</v>
      </c>
      <c r="E617" s="71"/>
      <c r="F617" s="134"/>
      <c r="G617" s="134"/>
      <c r="H617" s="134"/>
      <c r="I617" s="134"/>
      <c r="J617" s="134"/>
      <c r="K617" s="134"/>
      <c r="L617" s="134"/>
      <c r="M617" s="134"/>
      <c r="N617" s="134"/>
      <c r="O617" s="134"/>
      <c r="P617" s="134"/>
      <c r="Q617" s="134"/>
      <c r="R617" s="134"/>
      <c r="S617" s="134"/>
      <c r="T617" s="134"/>
      <c r="U617" s="134"/>
      <c r="V617" s="134"/>
      <c r="W617" s="134"/>
      <c r="X617" s="134"/>
      <c r="Y617" s="134"/>
      <c r="Z617" s="134"/>
    </row>
    <row r="618" spans="1:26" s="37" customFormat="1">
      <c r="A618" s="131">
        <v>627</v>
      </c>
      <c r="B618" s="89" t="s">
        <v>2447</v>
      </c>
      <c r="C618" s="339">
        <v>45770</v>
      </c>
      <c r="D618" s="92" t="s">
        <v>1416</v>
      </c>
      <c r="E618" s="71"/>
      <c r="F618" s="134"/>
      <c r="G618" s="134"/>
      <c r="H618" s="134"/>
      <c r="I618" s="134"/>
      <c r="J618" s="134"/>
      <c r="K618" s="134"/>
      <c r="L618" s="134"/>
      <c r="M618" s="134"/>
      <c r="N618" s="134"/>
      <c r="O618" s="134"/>
      <c r="P618" s="134"/>
      <c r="Q618" s="134"/>
      <c r="R618" s="134"/>
      <c r="S618" s="134"/>
      <c r="T618" s="134"/>
      <c r="U618" s="134"/>
      <c r="V618" s="134"/>
      <c r="W618" s="134"/>
      <c r="X618" s="134"/>
      <c r="Y618" s="134"/>
      <c r="Z618" s="134"/>
    </row>
    <row r="619" spans="1:26" s="37" customFormat="1">
      <c r="A619" s="131">
        <v>628</v>
      </c>
      <c r="B619" s="89" t="s">
        <v>2448</v>
      </c>
      <c r="C619" s="339">
        <v>45770</v>
      </c>
      <c r="D619" s="92" t="s">
        <v>2449</v>
      </c>
      <c r="E619" s="71"/>
      <c r="F619" s="134"/>
      <c r="G619" s="134"/>
      <c r="H619" s="134"/>
      <c r="I619" s="134"/>
      <c r="J619" s="134"/>
      <c r="K619" s="134"/>
      <c r="L619" s="134"/>
      <c r="M619" s="134"/>
      <c r="N619" s="134"/>
      <c r="O619" s="134"/>
      <c r="P619" s="134"/>
      <c r="Q619" s="134"/>
      <c r="R619" s="134"/>
      <c r="S619" s="134"/>
      <c r="T619" s="134"/>
      <c r="U619" s="134"/>
      <c r="V619" s="134"/>
      <c r="W619" s="134"/>
      <c r="X619" s="134"/>
      <c r="Y619" s="134"/>
      <c r="Z619" s="134"/>
    </row>
    <row r="620" spans="1:26" s="37" customFormat="1">
      <c r="A620" s="131">
        <v>629</v>
      </c>
      <c r="B620" s="89" t="s">
        <v>2450</v>
      </c>
      <c r="C620" s="339">
        <v>45771</v>
      </c>
      <c r="D620" s="92" t="s">
        <v>2451</v>
      </c>
      <c r="E620" s="71"/>
      <c r="F620" s="134"/>
      <c r="G620" s="134"/>
      <c r="H620" s="134"/>
      <c r="I620" s="134"/>
      <c r="J620" s="134"/>
      <c r="K620" s="134"/>
      <c r="L620" s="134"/>
      <c r="M620" s="134"/>
      <c r="N620" s="134"/>
      <c r="O620" s="134"/>
      <c r="P620" s="134"/>
      <c r="Q620" s="134"/>
      <c r="R620" s="134"/>
      <c r="S620" s="134"/>
      <c r="T620" s="134"/>
      <c r="U620" s="134"/>
      <c r="V620" s="134"/>
      <c r="W620" s="134"/>
      <c r="X620" s="134"/>
      <c r="Y620" s="134"/>
      <c r="Z620" s="134"/>
    </row>
    <row r="621" spans="1:26" s="37" customFormat="1">
      <c r="A621" s="131">
        <v>630</v>
      </c>
      <c r="B621" s="89" t="s">
        <v>1278</v>
      </c>
      <c r="C621" s="339">
        <v>45800</v>
      </c>
      <c r="D621" s="92" t="s">
        <v>1280</v>
      </c>
      <c r="E621" s="71"/>
      <c r="F621" s="134"/>
      <c r="G621" s="134"/>
      <c r="H621" s="134"/>
      <c r="I621" s="134"/>
      <c r="J621" s="134"/>
      <c r="K621" s="134"/>
      <c r="L621" s="134"/>
      <c r="M621" s="134"/>
      <c r="N621" s="134"/>
      <c r="O621" s="134"/>
      <c r="P621" s="134"/>
      <c r="Q621" s="134"/>
      <c r="R621" s="134"/>
      <c r="S621" s="134"/>
      <c r="T621" s="134"/>
      <c r="U621" s="134"/>
      <c r="V621" s="134"/>
      <c r="W621" s="134"/>
      <c r="X621" s="134"/>
      <c r="Y621" s="134"/>
      <c r="Z621" s="134"/>
    </row>
    <row r="622" spans="1:26" s="37" customFormat="1">
      <c r="A622" s="131">
        <v>631</v>
      </c>
      <c r="B622" s="89" t="s">
        <v>1277</v>
      </c>
      <c r="C622" s="339">
        <v>45801</v>
      </c>
      <c r="D622" s="330" t="s">
        <v>21</v>
      </c>
      <c r="E622" s="71"/>
      <c r="F622" s="134"/>
      <c r="G622" s="134"/>
      <c r="H622" s="134"/>
      <c r="I622" s="134"/>
      <c r="J622" s="134"/>
      <c r="K622" s="134"/>
      <c r="L622" s="134"/>
      <c r="M622" s="134"/>
      <c r="N622" s="134"/>
      <c r="O622" s="134"/>
      <c r="P622" s="134"/>
      <c r="Q622" s="134"/>
      <c r="R622" s="134"/>
      <c r="S622" s="134"/>
      <c r="T622" s="134"/>
      <c r="U622" s="134"/>
      <c r="V622" s="134"/>
      <c r="W622" s="134"/>
      <c r="X622" s="134"/>
      <c r="Y622" s="134"/>
      <c r="Z622" s="134"/>
    </row>
    <row r="623" spans="1:26" s="37" customFormat="1">
      <c r="A623" s="131">
        <v>632</v>
      </c>
      <c r="B623" s="89" t="s">
        <v>2452</v>
      </c>
      <c r="C623" s="339">
        <v>45804</v>
      </c>
      <c r="D623" s="92" t="s">
        <v>2453</v>
      </c>
      <c r="E623" s="71"/>
      <c r="F623" s="134"/>
      <c r="G623" s="134"/>
      <c r="H623" s="134"/>
      <c r="I623" s="134"/>
      <c r="J623" s="134"/>
      <c r="K623" s="134"/>
      <c r="L623" s="134"/>
      <c r="M623" s="134"/>
      <c r="N623" s="134"/>
      <c r="O623" s="134"/>
      <c r="P623" s="134"/>
      <c r="Q623" s="134"/>
      <c r="R623" s="134"/>
      <c r="S623" s="134"/>
      <c r="T623" s="134"/>
      <c r="U623" s="134"/>
      <c r="V623" s="134"/>
      <c r="W623" s="134"/>
      <c r="X623" s="134"/>
      <c r="Y623" s="134"/>
      <c r="Z623" s="134"/>
    </row>
    <row r="624" spans="1:26" s="37" customFormat="1">
      <c r="A624" s="131">
        <v>633</v>
      </c>
      <c r="B624" s="89" t="s">
        <v>2454</v>
      </c>
      <c r="C624" s="339">
        <v>45832</v>
      </c>
      <c r="D624" s="92" t="s">
        <v>2455</v>
      </c>
      <c r="E624" s="71"/>
      <c r="F624" s="134"/>
      <c r="G624" s="134"/>
      <c r="H624" s="134"/>
      <c r="I624" s="134"/>
      <c r="J624" s="134"/>
      <c r="K624" s="134"/>
      <c r="L624" s="134"/>
      <c r="M624" s="134"/>
      <c r="N624" s="134"/>
      <c r="O624" s="134"/>
      <c r="P624" s="134"/>
      <c r="Q624" s="134"/>
      <c r="R624" s="134"/>
      <c r="S624" s="134"/>
      <c r="T624" s="134"/>
      <c r="U624" s="134"/>
      <c r="V624" s="134"/>
      <c r="W624" s="134"/>
      <c r="X624" s="134"/>
      <c r="Y624" s="134"/>
      <c r="Z624" s="134"/>
    </row>
    <row r="625" spans="1:26" s="37" customFormat="1">
      <c r="A625" s="131">
        <v>634</v>
      </c>
      <c r="B625" s="89" t="s">
        <v>1275</v>
      </c>
      <c r="C625" s="339">
        <v>45833</v>
      </c>
      <c r="D625" s="377" t="s">
        <v>1276</v>
      </c>
      <c r="E625" s="71"/>
      <c r="F625" s="134"/>
      <c r="G625" s="134"/>
      <c r="H625" s="134"/>
      <c r="I625" s="134"/>
      <c r="J625" s="134"/>
      <c r="K625" s="134"/>
      <c r="L625" s="134"/>
      <c r="M625" s="134"/>
      <c r="N625" s="134"/>
      <c r="O625" s="134"/>
      <c r="P625" s="134"/>
      <c r="Q625" s="134"/>
      <c r="R625" s="134"/>
      <c r="S625" s="134"/>
      <c r="T625" s="134"/>
      <c r="U625" s="134"/>
      <c r="V625" s="134"/>
      <c r="W625" s="134"/>
      <c r="X625" s="134"/>
      <c r="Y625" s="134"/>
      <c r="Z625" s="134"/>
    </row>
    <row r="626" spans="1:26" s="37" customFormat="1">
      <c r="A626" s="131">
        <v>635</v>
      </c>
      <c r="B626" s="89" t="s">
        <v>2456</v>
      </c>
      <c r="C626" s="339">
        <v>45834</v>
      </c>
      <c r="D626" s="92" t="s">
        <v>2457</v>
      </c>
      <c r="E626" s="71"/>
      <c r="F626" s="134"/>
      <c r="G626" s="134"/>
      <c r="H626" s="134"/>
      <c r="I626" s="134"/>
      <c r="J626" s="134"/>
      <c r="K626" s="134"/>
      <c r="L626" s="134"/>
      <c r="M626" s="134"/>
      <c r="N626" s="134"/>
      <c r="O626" s="134"/>
      <c r="P626" s="134"/>
      <c r="Q626" s="134"/>
      <c r="R626" s="134"/>
      <c r="S626" s="134"/>
      <c r="T626" s="134"/>
      <c r="U626" s="134"/>
      <c r="V626" s="134"/>
      <c r="W626" s="134"/>
      <c r="X626" s="134"/>
      <c r="Y626" s="134"/>
      <c r="Z626" s="134"/>
    </row>
    <row r="627" spans="1:26" s="37" customFormat="1">
      <c r="A627" s="131">
        <v>636</v>
      </c>
      <c r="B627" s="89" t="s">
        <v>1272</v>
      </c>
      <c r="C627" s="339">
        <v>45835</v>
      </c>
      <c r="D627" s="92" t="s">
        <v>1274</v>
      </c>
      <c r="E627" s="71"/>
      <c r="F627" s="134"/>
      <c r="G627" s="134"/>
      <c r="H627" s="134"/>
      <c r="I627" s="134"/>
      <c r="J627" s="134"/>
      <c r="K627" s="134"/>
      <c r="L627" s="134"/>
      <c r="M627" s="134"/>
      <c r="N627" s="134"/>
      <c r="O627" s="134"/>
      <c r="P627" s="134"/>
      <c r="Q627" s="134"/>
      <c r="R627" s="134"/>
      <c r="S627" s="134"/>
      <c r="T627" s="134"/>
      <c r="U627" s="134"/>
      <c r="V627" s="134"/>
      <c r="W627" s="134"/>
      <c r="X627" s="134"/>
      <c r="Y627" s="134"/>
      <c r="Z627" s="134"/>
    </row>
    <row r="628" spans="1:26" s="37" customFormat="1">
      <c r="A628" s="131">
        <v>637</v>
      </c>
      <c r="B628" s="89" t="s">
        <v>2458</v>
      </c>
      <c r="C628" s="339">
        <v>45846</v>
      </c>
      <c r="D628" s="92" t="s">
        <v>2459</v>
      </c>
      <c r="E628" s="71"/>
      <c r="F628" s="134"/>
      <c r="G628" s="134"/>
      <c r="H628" s="134"/>
      <c r="I628" s="134"/>
      <c r="J628" s="134"/>
      <c r="K628" s="134"/>
      <c r="L628" s="134"/>
      <c r="M628" s="134"/>
      <c r="N628" s="134"/>
      <c r="O628" s="134"/>
      <c r="P628" s="134"/>
      <c r="Q628" s="134"/>
      <c r="R628" s="134"/>
      <c r="S628" s="134"/>
      <c r="T628" s="134"/>
      <c r="U628" s="134"/>
      <c r="V628" s="134"/>
      <c r="W628" s="134"/>
      <c r="X628" s="134"/>
      <c r="Y628" s="134"/>
      <c r="Z628" s="134"/>
    </row>
    <row r="629" spans="1:26" s="37" customFormat="1">
      <c r="A629" s="131">
        <v>638</v>
      </c>
      <c r="B629" s="89" t="s">
        <v>2460</v>
      </c>
      <c r="C629" s="339">
        <v>45847</v>
      </c>
      <c r="D629" s="92" t="s">
        <v>2461</v>
      </c>
      <c r="E629" s="71"/>
      <c r="F629" s="134"/>
      <c r="G629" s="134"/>
      <c r="H629" s="134"/>
      <c r="I629" s="134"/>
      <c r="J629" s="134"/>
      <c r="K629" s="134"/>
      <c r="L629" s="134"/>
      <c r="M629" s="134"/>
      <c r="N629" s="134"/>
      <c r="O629" s="134"/>
      <c r="P629" s="134"/>
      <c r="Q629" s="134"/>
      <c r="R629" s="134"/>
      <c r="S629" s="134"/>
      <c r="T629" s="134"/>
      <c r="U629" s="134"/>
      <c r="V629" s="134"/>
      <c r="W629" s="134"/>
      <c r="X629" s="134"/>
      <c r="Y629" s="134"/>
      <c r="Z629" s="134"/>
    </row>
    <row r="630" spans="1:26" s="37" customFormat="1">
      <c r="A630" s="131">
        <v>639</v>
      </c>
      <c r="B630" s="89" t="s">
        <v>2462</v>
      </c>
      <c r="C630" s="339">
        <v>45847</v>
      </c>
      <c r="D630" s="92" t="s">
        <v>2463</v>
      </c>
      <c r="E630" s="71"/>
      <c r="F630" s="134"/>
      <c r="G630" s="134"/>
      <c r="H630" s="134"/>
      <c r="I630" s="134"/>
      <c r="J630" s="134"/>
      <c r="K630" s="134"/>
      <c r="L630" s="134"/>
      <c r="M630" s="134"/>
      <c r="N630" s="134"/>
      <c r="O630" s="134"/>
      <c r="P630" s="134"/>
      <c r="Q630" s="134"/>
      <c r="R630" s="134"/>
      <c r="S630" s="134"/>
      <c r="T630" s="134"/>
      <c r="U630" s="134"/>
      <c r="V630" s="134"/>
      <c r="W630" s="134"/>
      <c r="X630" s="134"/>
      <c r="Y630" s="134"/>
      <c r="Z630" s="134"/>
    </row>
    <row r="631" spans="1:26" s="37" customFormat="1">
      <c r="A631" s="131">
        <v>640</v>
      </c>
      <c r="B631" s="89" t="s">
        <v>2464</v>
      </c>
      <c r="C631" s="339">
        <v>45848</v>
      </c>
      <c r="D631" s="377" t="s">
        <v>2465</v>
      </c>
      <c r="E631" s="71"/>
      <c r="F631" s="134"/>
      <c r="G631" s="134"/>
      <c r="H631" s="134"/>
      <c r="I631" s="134"/>
      <c r="J631" s="134"/>
      <c r="K631" s="134"/>
      <c r="L631" s="134"/>
      <c r="M631" s="134"/>
      <c r="N631" s="134"/>
      <c r="O631" s="134"/>
      <c r="P631" s="134"/>
      <c r="Q631" s="134"/>
      <c r="R631" s="134"/>
      <c r="S631" s="134"/>
      <c r="T631" s="134"/>
      <c r="U631" s="134"/>
      <c r="V631" s="134"/>
      <c r="W631" s="134"/>
      <c r="X631" s="134"/>
      <c r="Y631" s="134"/>
      <c r="Z631" s="134"/>
    </row>
    <row r="632" spans="1:26" s="37" customFormat="1">
      <c r="A632" s="131">
        <v>641</v>
      </c>
      <c r="B632" s="89" t="s">
        <v>2466</v>
      </c>
      <c r="C632" s="339">
        <v>45848</v>
      </c>
      <c r="D632" s="377" t="s">
        <v>2467</v>
      </c>
      <c r="E632" s="71"/>
      <c r="F632" s="134"/>
      <c r="G632" s="134"/>
      <c r="H632" s="134"/>
      <c r="I632" s="134"/>
      <c r="J632" s="134"/>
      <c r="K632" s="134"/>
      <c r="L632" s="134"/>
      <c r="M632" s="134"/>
      <c r="N632" s="134"/>
      <c r="O632" s="134"/>
      <c r="P632" s="134"/>
      <c r="Q632" s="134"/>
      <c r="R632" s="134"/>
      <c r="S632" s="134"/>
      <c r="T632" s="134"/>
      <c r="U632" s="134"/>
      <c r="V632" s="134"/>
      <c r="W632" s="134"/>
      <c r="X632" s="134"/>
      <c r="Y632" s="134"/>
      <c r="Z632" s="134"/>
    </row>
    <row r="633" spans="1:26" s="43" customFormat="1">
      <c r="A633" s="131">
        <v>642</v>
      </c>
      <c r="B633" s="89" t="s">
        <v>2468</v>
      </c>
      <c r="C633" s="339">
        <v>45854</v>
      </c>
      <c r="D633" s="89" t="s">
        <v>2469</v>
      </c>
      <c r="E633" s="135"/>
      <c r="F633" s="136"/>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s="43" customFormat="1">
      <c r="A634" s="131">
        <v>643</v>
      </c>
      <c r="B634" s="89" t="s">
        <v>1269</v>
      </c>
      <c r="C634" s="339">
        <v>45855</v>
      </c>
      <c r="D634" s="377" t="s">
        <v>2470</v>
      </c>
      <c r="E634" s="135"/>
      <c r="F634" s="136"/>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s="43" customFormat="1">
      <c r="A635" s="131">
        <v>644</v>
      </c>
      <c r="B635" s="89" t="s">
        <v>2471</v>
      </c>
      <c r="C635" s="339">
        <v>45856</v>
      </c>
      <c r="D635" s="92" t="s">
        <v>2472</v>
      </c>
      <c r="E635" s="135"/>
      <c r="F635" s="136"/>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s="43" customFormat="1">
      <c r="A636" s="131">
        <v>645</v>
      </c>
      <c r="B636" s="89" t="s">
        <v>2473</v>
      </c>
      <c r="C636" s="339">
        <v>45862</v>
      </c>
      <c r="D636" s="92" t="s">
        <v>2474</v>
      </c>
      <c r="E636" s="135"/>
      <c r="F636" s="136"/>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s="43" customFormat="1">
      <c r="A637" s="131">
        <v>646</v>
      </c>
      <c r="B637" s="89" t="s">
        <v>1444</v>
      </c>
      <c r="C637" s="339">
        <v>45870</v>
      </c>
      <c r="D637" s="92" t="s">
        <v>2475</v>
      </c>
      <c r="E637" s="135"/>
      <c r="F637" s="136"/>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s="43" customFormat="1">
      <c r="A638" s="131">
        <v>647</v>
      </c>
      <c r="B638" s="89" t="s">
        <v>1268</v>
      </c>
      <c r="C638" s="339">
        <v>45877</v>
      </c>
      <c r="D638" s="330" t="s">
        <v>21</v>
      </c>
      <c r="E638" s="135"/>
      <c r="F638" s="136"/>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s="43" customFormat="1">
      <c r="A639" s="131">
        <v>648</v>
      </c>
      <c r="B639" s="89" t="s">
        <v>2476</v>
      </c>
      <c r="C639" s="339">
        <v>45896</v>
      </c>
      <c r="D639" s="92" t="s">
        <v>2477</v>
      </c>
      <c r="E639" s="135"/>
      <c r="F639" s="136"/>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c r="A640" s="131">
        <v>649</v>
      </c>
      <c r="B640" s="245" t="s">
        <v>2478</v>
      </c>
      <c r="C640" s="378">
        <v>45912</v>
      </c>
      <c r="D640" s="379" t="s">
        <v>2479</v>
      </c>
      <c r="E640" s="52"/>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spans="1:26">
      <c r="A641" s="131">
        <v>650</v>
      </c>
      <c r="B641" s="74" t="s">
        <v>2480</v>
      </c>
      <c r="C641" s="75">
        <v>45912</v>
      </c>
      <c r="D641" s="380" t="s">
        <v>2481</v>
      </c>
      <c r="E641" s="52"/>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spans="1:26">
      <c r="A642" s="131">
        <v>651</v>
      </c>
      <c r="B642" s="74" t="s">
        <v>2482</v>
      </c>
      <c r="C642" s="75">
        <v>45922</v>
      </c>
      <c r="D642" s="380" t="s">
        <v>2483</v>
      </c>
      <c r="E642" s="52"/>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spans="1:26">
      <c r="A643" s="131">
        <v>652</v>
      </c>
      <c r="B643" s="74" t="s">
        <v>2484</v>
      </c>
      <c r="C643" s="75">
        <v>45924</v>
      </c>
      <c r="D643" s="380" t="s">
        <v>2485</v>
      </c>
      <c r="E643" s="52"/>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spans="1:26" s="267" customFormat="1" ht="14.4" customHeight="1">
      <c r="A644" s="360">
        <v>653</v>
      </c>
      <c r="B644" s="381" t="s">
        <v>2486</v>
      </c>
      <c r="C644" s="382">
        <v>46291</v>
      </c>
      <c r="D644" s="383" t="s">
        <v>2487</v>
      </c>
      <c r="E644" s="264"/>
      <c r="F644" s="265"/>
      <c r="G644" s="266"/>
      <c r="H644" s="266"/>
      <c r="I644" s="266"/>
      <c r="J644" s="266"/>
      <c r="K644" s="266"/>
      <c r="L644" s="266"/>
      <c r="M644" s="266"/>
      <c r="N644" s="266"/>
      <c r="O644" s="266"/>
      <c r="P644" s="266"/>
      <c r="Q644" s="266"/>
      <c r="R644" s="266"/>
      <c r="S644" s="266"/>
      <c r="T644" s="266"/>
      <c r="U644" s="266"/>
      <c r="V644" s="266"/>
      <c r="W644" s="266"/>
      <c r="X644" s="266"/>
      <c r="Y644" s="266"/>
      <c r="Z644" s="266"/>
    </row>
    <row r="645" spans="1:26">
      <c r="A645" s="131">
        <v>654</v>
      </c>
      <c r="B645" s="74" t="s">
        <v>2488</v>
      </c>
      <c r="C645" s="75">
        <v>45959</v>
      </c>
      <c r="D645" s="380" t="s">
        <v>2489</v>
      </c>
      <c r="E645" s="52"/>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spans="1:26">
      <c r="A646" s="131">
        <v>655</v>
      </c>
      <c r="B646" s="74" t="s">
        <v>2490</v>
      </c>
      <c r="C646" s="75">
        <v>45961</v>
      </c>
      <c r="D646" s="380" t="s">
        <v>2491</v>
      </c>
      <c r="E646" s="52"/>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spans="1:26">
      <c r="A647" s="131">
        <v>656</v>
      </c>
      <c r="B647" s="74" t="s">
        <v>2492</v>
      </c>
      <c r="C647" s="75">
        <v>45967</v>
      </c>
      <c r="D647" s="380" t="s">
        <v>2493</v>
      </c>
      <c r="E647" s="52"/>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spans="1:26">
      <c r="A648" s="131">
        <v>657</v>
      </c>
      <c r="B648" s="74" t="s">
        <v>2494</v>
      </c>
      <c r="C648" s="75">
        <v>45967</v>
      </c>
      <c r="D648" s="380" t="s">
        <v>2495</v>
      </c>
      <c r="E648" s="52"/>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spans="1:26">
      <c r="A649" s="131">
        <v>658</v>
      </c>
      <c r="B649" s="74" t="s">
        <v>2496</v>
      </c>
      <c r="C649" s="75">
        <v>45968</v>
      </c>
      <c r="D649" s="380" t="s">
        <v>2493</v>
      </c>
      <c r="E649" s="52"/>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spans="1:26">
      <c r="A650" s="131">
        <v>659</v>
      </c>
      <c r="B650" s="74" t="s">
        <v>2497</v>
      </c>
      <c r="C650" s="75">
        <v>45972</v>
      </c>
      <c r="D650" s="384" t="s">
        <v>2498</v>
      </c>
      <c r="E650" s="52"/>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spans="1:26">
      <c r="A651" s="131">
        <v>660</v>
      </c>
      <c r="B651" s="74" t="s">
        <v>2499</v>
      </c>
      <c r="C651" s="385">
        <v>45973</v>
      </c>
      <c r="D651" s="176" t="s">
        <v>2500</v>
      </c>
      <c r="E651" s="71"/>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spans="1:26">
      <c r="A652" s="131">
        <v>661</v>
      </c>
      <c r="B652" s="74" t="s">
        <v>2501</v>
      </c>
      <c r="C652" s="75">
        <v>45975</v>
      </c>
      <c r="D652" s="384" t="s">
        <v>2502</v>
      </c>
      <c r="E652" s="52"/>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spans="1:26">
      <c r="A653" s="131">
        <v>662</v>
      </c>
      <c r="B653" s="246" t="s">
        <v>2503</v>
      </c>
      <c r="C653" s="75">
        <v>45978</v>
      </c>
      <c r="D653" s="380" t="s">
        <v>2504</v>
      </c>
      <c r="E653" s="52"/>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spans="1:26">
      <c r="A654" s="131">
        <v>663</v>
      </c>
      <c r="B654" s="246" t="s">
        <v>2505</v>
      </c>
      <c r="C654" s="75">
        <v>45979</v>
      </c>
      <c r="D654" s="386" t="s">
        <v>2504</v>
      </c>
      <c r="E654" s="52"/>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spans="1:26" ht="15">
      <c r="A655" s="131">
        <v>664</v>
      </c>
      <c r="B655" s="246" t="s">
        <v>2506</v>
      </c>
      <c r="C655" s="385">
        <v>45980</v>
      </c>
      <c r="D655" s="387" t="s">
        <v>2507</v>
      </c>
      <c r="E655" s="71"/>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spans="1:26" ht="15">
      <c r="A656" s="131">
        <v>665</v>
      </c>
      <c r="B656" s="246" t="s">
        <v>2508</v>
      </c>
      <c r="C656" s="385">
        <v>45986</v>
      </c>
      <c r="D656" s="387" t="s">
        <v>2502</v>
      </c>
      <c r="E656" s="71"/>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spans="1:26" ht="15">
      <c r="A657" s="131">
        <v>666</v>
      </c>
      <c r="B657" s="2" t="s">
        <v>2509</v>
      </c>
      <c r="C657" s="385">
        <v>45986</v>
      </c>
      <c r="D657" s="387" t="s">
        <v>2510</v>
      </c>
      <c r="E657" s="71"/>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spans="1:26" ht="15">
      <c r="A658" s="131">
        <v>667</v>
      </c>
      <c r="B658" s="246" t="s">
        <v>2511</v>
      </c>
      <c r="C658" s="385">
        <v>46000</v>
      </c>
      <c r="D658" s="387" t="s">
        <v>2512</v>
      </c>
      <c r="E658" s="71"/>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spans="1:26">
      <c r="A659" s="131">
        <v>668</v>
      </c>
      <c r="B659" s="246" t="s">
        <v>2513</v>
      </c>
      <c r="C659" s="75">
        <v>46000</v>
      </c>
      <c r="D659" s="379" t="s">
        <v>2512</v>
      </c>
      <c r="E659" s="52"/>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spans="1:26">
      <c r="A660" s="131">
        <v>669</v>
      </c>
      <c r="B660" s="246" t="s">
        <v>2514</v>
      </c>
      <c r="C660" s="75">
        <v>46002</v>
      </c>
      <c r="D660" s="380" t="s">
        <v>2515</v>
      </c>
      <c r="E660" s="52"/>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spans="1:26">
      <c r="A661" s="131">
        <v>670</v>
      </c>
      <c r="B661" s="246" t="s">
        <v>2516</v>
      </c>
      <c r="C661" s="75">
        <v>46003</v>
      </c>
      <c r="D661" s="380" t="s">
        <v>2517</v>
      </c>
      <c r="E661" s="52"/>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spans="1:26">
      <c r="A662" s="131">
        <v>671</v>
      </c>
      <c r="B662" s="246" t="s">
        <v>2518</v>
      </c>
      <c r="C662" s="75">
        <v>46010</v>
      </c>
      <c r="D662" s="380" t="s">
        <v>1559</v>
      </c>
      <c r="E662" s="52"/>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spans="1:26" ht="28.8">
      <c r="A663" s="131">
        <v>672</v>
      </c>
      <c r="B663" s="246" t="s">
        <v>2519</v>
      </c>
      <c r="C663" s="75">
        <v>46022</v>
      </c>
      <c r="D663" s="380" t="s">
        <v>2520</v>
      </c>
      <c r="E663" s="52"/>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spans="1:26">
      <c r="A664" s="131">
        <v>673</v>
      </c>
      <c r="B664" s="246" t="s">
        <v>2521</v>
      </c>
      <c r="C664" s="75">
        <v>46022</v>
      </c>
      <c r="D664" s="380" t="s">
        <v>1559</v>
      </c>
      <c r="E664" s="52"/>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spans="1:26">
      <c r="A665" s="131">
        <v>674</v>
      </c>
      <c r="B665" s="246" t="s">
        <v>2522</v>
      </c>
      <c r="C665" s="75">
        <v>46037</v>
      </c>
      <c r="D665" s="380" t="s">
        <v>1212</v>
      </c>
      <c r="E665" s="52"/>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spans="1:26" ht="13.8" customHeight="1">
      <c r="A666" s="131">
        <v>675</v>
      </c>
      <c r="B666" s="246" t="s">
        <v>2523</v>
      </c>
      <c r="C666" s="164">
        <v>46038</v>
      </c>
      <c r="D666" s="388" t="s">
        <v>2524</v>
      </c>
      <c r="E666" s="52"/>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spans="1:26" ht="15">
      <c r="A667" s="131">
        <v>676</v>
      </c>
      <c r="B667" s="389" t="s">
        <v>2525</v>
      </c>
      <c r="C667" s="75">
        <v>46051</v>
      </c>
      <c r="D667" s="380" t="s">
        <v>2526</v>
      </c>
      <c r="E667" s="52"/>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spans="1:26" ht="15">
      <c r="A668" s="196">
        <v>677</v>
      </c>
      <c r="B668" s="390" t="s">
        <v>2527</v>
      </c>
      <c r="C668" s="391">
        <v>46051</v>
      </c>
      <c r="D668" s="380" t="s">
        <v>2528</v>
      </c>
      <c r="E668" s="52"/>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spans="1:26" ht="15">
      <c r="A669" s="196">
        <v>678</v>
      </c>
      <c r="B669" s="390" t="s">
        <v>2529</v>
      </c>
      <c r="C669" s="391">
        <v>46057</v>
      </c>
      <c r="D669" s="380" t="s">
        <v>2530</v>
      </c>
      <c r="E669" s="52"/>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spans="1:26" ht="15">
      <c r="A670" s="131">
        <v>679</v>
      </c>
      <c r="B670" s="389" t="s">
        <v>2531</v>
      </c>
      <c r="C670" s="347">
        <f>DATE(2026,2,17)</f>
        <v>46070</v>
      </c>
      <c r="D670" s="380" t="s">
        <v>2532</v>
      </c>
      <c r="E670" s="52"/>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spans="1:26" s="99" customFormat="1" ht="15">
      <c r="A671" s="131">
        <v>680</v>
      </c>
      <c r="B671" s="392" t="s">
        <v>2533</v>
      </c>
      <c r="C671" s="391">
        <v>46092</v>
      </c>
      <c r="D671" s="380" t="s">
        <v>2534</v>
      </c>
      <c r="E671" s="97"/>
      <c r="F671" s="98"/>
      <c r="G671" s="98"/>
      <c r="H671" s="98"/>
      <c r="I671" s="98"/>
      <c r="J671" s="98"/>
      <c r="K671" s="98"/>
      <c r="L671" s="98"/>
      <c r="M671" s="98"/>
      <c r="N671" s="98"/>
      <c r="O671" s="98"/>
      <c r="P671" s="98"/>
      <c r="Q671" s="98"/>
      <c r="R671" s="98"/>
      <c r="S671" s="98"/>
      <c r="T671" s="98"/>
      <c r="U671" s="98"/>
      <c r="V671" s="98"/>
      <c r="W671" s="98"/>
      <c r="X671" s="98"/>
      <c r="Y671" s="98"/>
      <c r="Z671" s="98"/>
    </row>
    <row r="672" spans="1:26" s="99" customFormat="1" ht="15.6" customHeight="1">
      <c r="A672" s="131">
        <v>681</v>
      </c>
      <c r="B672" s="393" t="s">
        <v>2535</v>
      </c>
      <c r="C672" s="357">
        <v>46094</v>
      </c>
      <c r="D672" s="113" t="s">
        <v>2536</v>
      </c>
      <c r="E672" s="97"/>
      <c r="F672" s="98"/>
      <c r="G672" s="98"/>
      <c r="H672" s="98"/>
      <c r="I672" s="98"/>
      <c r="J672" s="98"/>
      <c r="K672" s="98"/>
      <c r="L672" s="98"/>
      <c r="M672" s="98"/>
      <c r="N672" s="98"/>
      <c r="O672" s="98"/>
      <c r="P672" s="98"/>
      <c r="Q672" s="98"/>
      <c r="R672" s="98"/>
      <c r="S672" s="98"/>
      <c r="T672" s="98"/>
      <c r="U672" s="98"/>
      <c r="V672" s="98"/>
      <c r="W672" s="98"/>
      <c r="X672" s="98"/>
      <c r="Y672" s="98"/>
      <c r="Z672" s="98"/>
    </row>
    <row r="673" spans="1:26">
      <c r="A673" s="196">
        <v>682</v>
      </c>
      <c r="B673" s="147" t="s">
        <v>2537</v>
      </c>
      <c r="C673" s="391">
        <v>46112</v>
      </c>
      <c r="D673" s="380" t="s">
        <v>2538</v>
      </c>
      <c r="E673" s="52"/>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spans="1:26">
      <c r="A674" s="131">
        <v>683</v>
      </c>
      <c r="B674" s="245" t="s">
        <v>4921</v>
      </c>
      <c r="C674" s="75">
        <f>DATE(2026,4,15)</f>
        <v>46127</v>
      </c>
      <c r="D674" s="380" t="s">
        <v>4922</v>
      </c>
      <c r="E674" s="52"/>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spans="1:26">
      <c r="A675" s="131">
        <v>684</v>
      </c>
      <c r="B675" s="246" t="s">
        <v>4923</v>
      </c>
      <c r="C675" s="75">
        <f>DATE(2026,4,17)</f>
        <v>46129</v>
      </c>
      <c r="D675" s="380" t="s">
        <v>4924</v>
      </c>
      <c r="E675" s="52"/>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spans="1:26">
      <c r="A676" s="196">
        <v>685</v>
      </c>
      <c r="B676" s="246" t="s">
        <v>4925</v>
      </c>
      <c r="C676" s="75">
        <f>DATE(2026,4,21)</f>
        <v>46133</v>
      </c>
      <c r="D676" s="380" t="s">
        <v>4926</v>
      </c>
      <c r="E676" s="52"/>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spans="1:26">
      <c r="A677" s="131">
        <v>686</v>
      </c>
      <c r="B677" s="246" t="s">
        <v>4927</v>
      </c>
      <c r="C677" s="75">
        <f>DATE(2026,4,22)</f>
        <v>46134</v>
      </c>
      <c r="D677" s="380" t="s">
        <v>4928</v>
      </c>
      <c r="E677" s="52"/>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spans="1:26">
      <c r="A678" s="131">
        <v>687</v>
      </c>
      <c r="B678" s="246" t="s">
        <v>4929</v>
      </c>
      <c r="C678" s="75">
        <f>DATE(2026,4,28)</f>
        <v>46140</v>
      </c>
      <c r="D678" s="380" t="s">
        <v>4930</v>
      </c>
      <c r="E678" s="52"/>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spans="1:26">
      <c r="A679" s="131">
        <v>688</v>
      </c>
      <c r="B679" s="563" t="s">
        <v>4944</v>
      </c>
      <c r="C679" s="75">
        <f>DATE(2026,5,5)</f>
        <v>46147</v>
      </c>
      <c r="D679" s="562" t="s">
        <v>4945</v>
      </c>
      <c r="E679" s="52"/>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spans="1:26">
      <c r="A680" s="131">
        <v>689</v>
      </c>
      <c r="B680" s="563" t="s">
        <v>4946</v>
      </c>
      <c r="C680" s="75">
        <f>DATE(2026,5,5)</f>
        <v>46147</v>
      </c>
      <c r="D680" s="562" t="s">
        <v>4947</v>
      </c>
      <c r="E680" s="52"/>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spans="1:26">
      <c r="A681" s="131">
        <v>690</v>
      </c>
      <c r="B681" s="563" t="s">
        <v>4948</v>
      </c>
      <c r="C681" s="75">
        <f>DATE(2026,5,5)</f>
        <v>46147</v>
      </c>
      <c r="D681" s="562" t="s">
        <v>4949</v>
      </c>
      <c r="E681" s="52"/>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spans="1:26">
      <c r="A682" s="131">
        <v>691</v>
      </c>
      <c r="B682" s="563" t="s">
        <v>4950</v>
      </c>
      <c r="C682" s="75">
        <f>DATE(2026,5,14)</f>
        <v>46156</v>
      </c>
      <c r="D682" s="562" t="s">
        <v>4951</v>
      </c>
      <c r="E682" s="52"/>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spans="1:26">
      <c r="A683" s="196">
        <v>692</v>
      </c>
      <c r="B683" s="563" t="s">
        <v>4952</v>
      </c>
      <c r="C683" s="75">
        <f>DATE(2026,5,14)</f>
        <v>46156</v>
      </c>
      <c r="D683" s="562" t="s">
        <v>4951</v>
      </c>
      <c r="E683" s="52"/>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spans="1:26">
      <c r="A684" s="131">
        <v>693</v>
      </c>
      <c r="B684" s="563" t="s">
        <v>4953</v>
      </c>
      <c r="C684" s="75">
        <f>DATE(2026,5,25)</f>
        <v>46167</v>
      </c>
      <c r="D684" s="562" t="s">
        <v>4954</v>
      </c>
      <c r="E684" s="52"/>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spans="1:26">
      <c r="A685" s="125"/>
      <c r="B685" s="2"/>
      <c r="C685" s="75"/>
      <c r="D685" s="137"/>
      <c r="E685" s="52"/>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spans="1:26">
      <c r="A686" s="125"/>
      <c r="B686" s="2"/>
      <c r="C686" s="75"/>
      <c r="D686" s="137"/>
      <c r="E686" s="52"/>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spans="1:26">
      <c r="A687" s="125"/>
      <c r="B687" s="2"/>
      <c r="C687" s="75"/>
      <c r="D687" s="137"/>
      <c r="E687" s="52"/>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spans="1:26">
      <c r="A688" s="125"/>
      <c r="B688" s="2"/>
      <c r="C688" s="75"/>
      <c r="D688" s="137"/>
      <c r="E688" s="52"/>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spans="1:26">
      <c r="A689" s="125"/>
      <c r="B689" s="2"/>
      <c r="C689" s="75"/>
      <c r="D689" s="137"/>
      <c r="E689" s="52"/>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spans="1:26">
      <c r="A690" s="125"/>
      <c r="B690" s="2"/>
      <c r="C690" s="75"/>
      <c r="D690" s="137"/>
      <c r="E690" s="52"/>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spans="1:26">
      <c r="A691" s="125"/>
      <c r="B691" s="2"/>
      <c r="C691" s="75"/>
      <c r="D691" s="137"/>
      <c r="E691" s="52"/>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spans="1:26">
      <c r="A692" s="125"/>
      <c r="B692" s="2"/>
      <c r="C692" s="75"/>
      <c r="D692" s="137"/>
      <c r="E692" s="52"/>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spans="1:26">
      <c r="A693" s="125"/>
      <c r="B693" s="2"/>
      <c r="C693" s="75"/>
      <c r="D693" s="137"/>
      <c r="E693" s="52"/>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spans="1:26">
      <c r="A694" s="125"/>
      <c r="B694" s="2"/>
      <c r="C694" s="75"/>
      <c r="D694" s="137"/>
      <c r="E694" s="52"/>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spans="1:26">
      <c r="A695" s="125"/>
      <c r="B695" s="2"/>
      <c r="C695" s="75"/>
      <c r="D695" s="137"/>
      <c r="E695" s="52"/>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spans="1:26">
      <c r="A696" s="125"/>
      <c r="B696" s="2"/>
      <c r="C696" s="75"/>
      <c r="D696" s="137"/>
      <c r="E696" s="52"/>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spans="1:26">
      <c r="A697" s="125"/>
      <c r="B697" s="2"/>
      <c r="C697" s="75"/>
      <c r="D697" s="137"/>
      <c r="E697" s="52"/>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spans="1:26">
      <c r="A698" s="125"/>
      <c r="B698" s="2"/>
      <c r="C698" s="75"/>
      <c r="D698" s="137"/>
      <c r="E698" s="52"/>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spans="1:26">
      <c r="A699" s="125"/>
      <c r="B699" s="2"/>
      <c r="C699" s="75"/>
      <c r="D699" s="137"/>
      <c r="E699" s="52"/>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spans="1:26">
      <c r="A700" s="125"/>
      <c r="B700" s="2"/>
      <c r="C700" s="75"/>
      <c r="D700" s="137"/>
      <c r="E700" s="52"/>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spans="1:26">
      <c r="A701" s="125"/>
      <c r="B701" s="2"/>
      <c r="C701" s="75"/>
      <c r="D701" s="137"/>
      <c r="E701" s="52"/>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spans="1:26">
      <c r="A702" s="125"/>
      <c r="B702" s="2"/>
      <c r="C702" s="75"/>
      <c r="D702" s="137"/>
      <c r="E702" s="52"/>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spans="1:26">
      <c r="A703" s="125"/>
      <c r="B703" s="2"/>
      <c r="C703" s="75"/>
      <c r="D703" s="137"/>
      <c r="E703" s="52"/>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spans="1:26">
      <c r="A704" s="125"/>
      <c r="B704" s="2"/>
      <c r="C704" s="75"/>
      <c r="D704" s="137"/>
      <c r="E704" s="52"/>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spans="1:26">
      <c r="A705" s="125"/>
      <c r="B705" s="2"/>
      <c r="C705" s="75"/>
      <c r="D705" s="137"/>
      <c r="E705" s="52"/>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spans="1:26">
      <c r="A706" s="125"/>
      <c r="B706" s="2"/>
      <c r="C706" s="75"/>
      <c r="D706" s="137"/>
      <c r="E706" s="52"/>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spans="1:26">
      <c r="A707" s="125"/>
      <c r="B707" s="2"/>
      <c r="C707" s="75"/>
      <c r="D707" s="137"/>
      <c r="E707" s="52"/>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spans="1:26">
      <c r="A708" s="125"/>
      <c r="B708" s="2"/>
      <c r="C708" s="75"/>
      <c r="D708" s="137"/>
      <c r="E708" s="52"/>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spans="1:26">
      <c r="A709" s="125"/>
      <c r="B709" s="2"/>
      <c r="C709" s="75"/>
      <c r="D709" s="137"/>
      <c r="E709" s="52"/>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spans="1:26">
      <c r="A710" s="125"/>
      <c r="B710" s="2"/>
      <c r="C710" s="75"/>
      <c r="D710" s="137"/>
      <c r="E710" s="52"/>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spans="1:26">
      <c r="A711" s="125"/>
      <c r="B711" s="2"/>
      <c r="C711" s="75"/>
      <c r="D711" s="137"/>
      <c r="E711" s="52"/>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spans="1:26">
      <c r="A712" s="125"/>
      <c r="B712" s="2"/>
      <c r="C712" s="75"/>
      <c r="D712" s="137"/>
      <c r="E712" s="52"/>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spans="1:26">
      <c r="A713" s="125"/>
      <c r="B713" s="2"/>
      <c r="C713" s="75"/>
      <c r="D713" s="137"/>
      <c r="E713" s="52"/>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spans="1:26">
      <c r="A714" s="125"/>
      <c r="B714" s="2"/>
      <c r="C714" s="75"/>
      <c r="D714" s="137"/>
      <c r="E714" s="52"/>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spans="1:26">
      <c r="A715" s="125"/>
      <c r="B715" s="2"/>
      <c r="C715" s="75"/>
      <c r="D715" s="137"/>
      <c r="E715" s="52"/>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spans="1:26">
      <c r="A716" s="125"/>
      <c r="B716" s="2"/>
      <c r="C716" s="75"/>
      <c r="D716" s="137"/>
      <c r="E716" s="52"/>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spans="1:26">
      <c r="A717" s="125"/>
      <c r="B717" s="2"/>
      <c r="C717" s="75"/>
      <c r="D717" s="137"/>
      <c r="E717" s="52"/>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spans="1:26">
      <c r="A718" s="125"/>
      <c r="B718" s="2"/>
      <c r="C718" s="75"/>
      <c r="D718" s="137"/>
      <c r="E718" s="52"/>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spans="1:26">
      <c r="A719" s="125"/>
      <c r="B719" s="2"/>
      <c r="C719" s="75"/>
      <c r="D719" s="137"/>
      <c r="E719" s="52"/>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spans="1:26">
      <c r="A720" s="125"/>
      <c r="B720" s="2"/>
      <c r="C720" s="75"/>
      <c r="D720" s="137"/>
      <c r="E720" s="52"/>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spans="1:26">
      <c r="A721" s="125"/>
      <c r="B721" s="2"/>
      <c r="C721" s="75"/>
      <c r="D721" s="137"/>
      <c r="E721" s="52"/>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spans="1:26">
      <c r="A722" s="125"/>
      <c r="B722" s="2"/>
      <c r="C722" s="75"/>
      <c r="D722" s="137"/>
      <c r="E722" s="52"/>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spans="1:26">
      <c r="A723" s="125"/>
      <c r="B723" s="2"/>
      <c r="C723" s="75"/>
      <c r="D723" s="137"/>
      <c r="E723" s="52"/>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spans="1:26">
      <c r="A724" s="125"/>
      <c r="B724" s="2"/>
      <c r="C724" s="75"/>
      <c r="D724" s="137"/>
      <c r="E724" s="52"/>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spans="1:26">
      <c r="A725" s="125"/>
      <c r="B725" s="2"/>
      <c r="C725" s="75"/>
      <c r="D725" s="137"/>
      <c r="E725" s="52"/>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spans="1:26">
      <c r="A726" s="125"/>
      <c r="B726" s="2"/>
      <c r="C726" s="75"/>
      <c r="D726" s="137"/>
      <c r="E726" s="52"/>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spans="1:26">
      <c r="A727" s="125"/>
      <c r="B727" s="2"/>
      <c r="C727" s="75"/>
      <c r="D727" s="137"/>
      <c r="E727" s="52"/>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spans="1:26">
      <c r="A728" s="125"/>
      <c r="B728" s="2"/>
      <c r="C728" s="75"/>
      <c r="D728" s="137"/>
      <c r="E728" s="52"/>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spans="1:26">
      <c r="A729" s="125"/>
      <c r="B729" s="2"/>
      <c r="C729" s="75"/>
      <c r="D729" s="137"/>
      <c r="E729" s="52"/>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spans="1:26">
      <c r="A730" s="125"/>
      <c r="B730" s="2"/>
      <c r="C730" s="75"/>
      <c r="D730" s="137"/>
      <c r="E730" s="52"/>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spans="1:26">
      <c r="A731" s="125"/>
      <c r="B731" s="2"/>
      <c r="C731" s="75"/>
      <c r="D731" s="137"/>
      <c r="E731" s="52"/>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spans="1:26">
      <c r="A732" s="125"/>
      <c r="B732" s="2"/>
      <c r="C732" s="75"/>
      <c r="D732" s="137"/>
      <c r="E732" s="52"/>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spans="1:26">
      <c r="A733" s="125"/>
      <c r="B733" s="2"/>
      <c r="C733" s="75"/>
      <c r="D733" s="137"/>
      <c r="E733" s="52"/>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spans="1:26">
      <c r="A734" s="125"/>
      <c r="B734" s="2"/>
      <c r="C734" s="75"/>
      <c r="D734" s="137"/>
      <c r="E734" s="52"/>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spans="1:26">
      <c r="A735" s="125"/>
      <c r="B735" s="2"/>
      <c r="C735" s="75"/>
      <c r="D735" s="137"/>
      <c r="E735" s="52"/>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spans="1:26">
      <c r="A736" s="125"/>
      <c r="B736" s="2"/>
      <c r="C736" s="75"/>
      <c r="D736" s="137"/>
      <c r="E736" s="52"/>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spans="1:26">
      <c r="A737" s="125"/>
      <c r="B737" s="2"/>
      <c r="C737" s="75"/>
      <c r="D737" s="137"/>
      <c r="E737" s="52"/>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spans="1:26">
      <c r="A738" s="125"/>
      <c r="B738" s="2"/>
      <c r="C738" s="75"/>
      <c r="D738" s="137"/>
      <c r="E738" s="52"/>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spans="1:26">
      <c r="A739" s="125"/>
      <c r="B739" s="2"/>
      <c r="C739" s="75"/>
      <c r="D739" s="137"/>
      <c r="E739" s="52"/>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spans="1:26">
      <c r="A740" s="125"/>
      <c r="B740" s="2"/>
      <c r="C740" s="75"/>
      <c r="D740" s="137"/>
      <c r="E740" s="52"/>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spans="1:26">
      <c r="A741" s="125"/>
      <c r="B741" s="2"/>
      <c r="C741" s="75"/>
      <c r="D741" s="137"/>
      <c r="E741" s="52"/>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spans="1:26">
      <c r="A742" s="125"/>
      <c r="B742" s="2"/>
      <c r="C742" s="75"/>
      <c r="D742" s="137"/>
      <c r="E742" s="52"/>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spans="1:26">
      <c r="A743" s="125"/>
      <c r="B743" s="2"/>
      <c r="C743" s="75"/>
      <c r="D743" s="137"/>
      <c r="E743" s="52"/>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spans="1:26">
      <c r="A744" s="125"/>
      <c r="B744" s="2"/>
      <c r="C744" s="75"/>
      <c r="D744" s="137"/>
      <c r="E744" s="52"/>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spans="1:26">
      <c r="A745" s="125"/>
      <c r="B745" s="2"/>
      <c r="C745" s="75"/>
      <c r="D745" s="137"/>
      <c r="E745" s="52"/>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spans="1:26">
      <c r="A746" s="125"/>
      <c r="B746" s="2"/>
      <c r="C746" s="75"/>
      <c r="D746" s="137"/>
      <c r="E746" s="52"/>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spans="1:26">
      <c r="A747" s="125"/>
      <c r="B747" s="2"/>
      <c r="C747" s="75"/>
      <c r="D747" s="137"/>
      <c r="E747" s="52"/>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spans="1:26">
      <c r="A748" s="125"/>
      <c r="B748" s="2"/>
      <c r="C748" s="75"/>
      <c r="D748" s="137"/>
      <c r="E748" s="52"/>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spans="1:26">
      <c r="A749" s="125"/>
      <c r="B749" s="2"/>
      <c r="C749" s="75"/>
      <c r="D749" s="137"/>
      <c r="E749" s="52"/>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spans="1:26">
      <c r="A750" s="125"/>
      <c r="B750" s="2"/>
      <c r="C750" s="75"/>
      <c r="D750" s="137"/>
      <c r="E750" s="52"/>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spans="1:26">
      <c r="A751" s="125"/>
      <c r="B751" s="2"/>
      <c r="C751" s="75"/>
      <c r="D751" s="137"/>
      <c r="E751" s="52"/>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spans="1:26">
      <c r="A752" s="125"/>
      <c r="B752" s="2"/>
      <c r="C752" s="75"/>
      <c r="D752" s="137"/>
      <c r="E752" s="52"/>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spans="1:26">
      <c r="A753" s="125"/>
      <c r="B753" s="2"/>
      <c r="C753" s="75"/>
      <c r="D753" s="137"/>
      <c r="E753" s="52"/>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spans="1:26">
      <c r="A754" s="125"/>
      <c r="B754" s="2"/>
      <c r="C754" s="75"/>
      <c r="D754" s="137"/>
      <c r="E754" s="52"/>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spans="1:26">
      <c r="A755" s="125"/>
      <c r="B755" s="2"/>
      <c r="C755" s="75"/>
      <c r="D755" s="137"/>
      <c r="E755" s="52"/>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spans="1:26">
      <c r="A756" s="125"/>
      <c r="B756" s="2"/>
      <c r="C756" s="75"/>
      <c r="D756" s="137"/>
      <c r="E756" s="52"/>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spans="1:26">
      <c r="A757" s="125"/>
      <c r="B757" s="2"/>
      <c r="C757" s="75"/>
      <c r="D757" s="137"/>
      <c r="E757" s="52"/>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spans="1:26">
      <c r="A758" s="125"/>
      <c r="B758" s="2"/>
      <c r="C758" s="75"/>
      <c r="D758" s="137"/>
      <c r="E758" s="52"/>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spans="1:26">
      <c r="A759" s="125"/>
      <c r="B759" s="2"/>
      <c r="C759" s="75"/>
      <c r="D759" s="137"/>
      <c r="E759" s="52"/>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spans="1:26">
      <c r="A760" s="125"/>
      <c r="B760" s="2"/>
      <c r="C760" s="75"/>
      <c r="D760" s="137"/>
      <c r="E760" s="52"/>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spans="1:26">
      <c r="A761" s="125"/>
      <c r="B761" s="2"/>
      <c r="C761" s="75"/>
      <c r="D761" s="137"/>
      <c r="E761" s="52"/>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spans="1:26">
      <c r="A762" s="125"/>
      <c r="B762" s="2"/>
      <c r="C762" s="75"/>
      <c r="D762" s="137"/>
      <c r="E762" s="52"/>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spans="1:26">
      <c r="A763" s="125"/>
      <c r="B763" s="2"/>
      <c r="C763" s="75"/>
      <c r="D763" s="137"/>
      <c r="E763" s="52"/>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spans="1:26">
      <c r="A764" s="125"/>
      <c r="B764" s="2"/>
      <c r="C764" s="75"/>
      <c r="D764" s="137"/>
      <c r="E764" s="52"/>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spans="1:26">
      <c r="A765" s="125"/>
      <c r="B765" s="2"/>
      <c r="C765" s="75"/>
      <c r="D765" s="137"/>
      <c r="E765" s="52"/>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spans="1:26">
      <c r="A766" s="125"/>
      <c r="B766" s="2"/>
      <c r="C766" s="75"/>
      <c r="D766" s="137"/>
      <c r="E766" s="52"/>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spans="1:26">
      <c r="A767" s="125"/>
      <c r="B767" s="2"/>
      <c r="C767" s="75"/>
      <c r="D767" s="137"/>
      <c r="E767" s="52"/>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spans="1:26">
      <c r="A768" s="125"/>
      <c r="B768" s="2"/>
      <c r="C768" s="75"/>
      <c r="D768" s="137"/>
      <c r="E768" s="52"/>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spans="1:26">
      <c r="A769" s="125"/>
      <c r="B769" s="2"/>
      <c r="C769" s="75"/>
      <c r="D769" s="137"/>
      <c r="E769" s="52"/>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spans="1:26">
      <c r="A770" s="125"/>
      <c r="B770" s="2"/>
      <c r="C770" s="75"/>
      <c r="D770" s="137"/>
      <c r="E770" s="52"/>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spans="1:26">
      <c r="A771" s="125"/>
      <c r="B771" s="2"/>
      <c r="C771" s="75"/>
      <c r="D771" s="137"/>
      <c r="E771" s="52"/>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spans="1:26">
      <c r="A772" s="125"/>
      <c r="B772" s="2"/>
      <c r="C772" s="75"/>
      <c r="D772" s="137"/>
      <c r="E772" s="52"/>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spans="1:26">
      <c r="A773" s="125"/>
      <c r="B773" s="2"/>
      <c r="C773" s="75"/>
      <c r="D773" s="137"/>
      <c r="E773" s="52"/>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spans="1:26">
      <c r="A774" s="125"/>
      <c r="B774" s="2"/>
      <c r="C774" s="75"/>
      <c r="D774" s="137"/>
      <c r="E774" s="52"/>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spans="1:26">
      <c r="A775" s="125"/>
      <c r="B775" s="2"/>
      <c r="C775" s="75"/>
      <c r="D775" s="137"/>
      <c r="E775" s="52"/>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spans="1:26">
      <c r="A776" s="125"/>
      <c r="B776" s="2"/>
      <c r="C776" s="75"/>
      <c r="D776" s="137"/>
      <c r="E776" s="52"/>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spans="1:26">
      <c r="A777" s="125"/>
      <c r="B777" s="2"/>
      <c r="C777" s="75"/>
      <c r="D777" s="137"/>
      <c r="E777" s="52"/>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spans="1:26">
      <c r="A778" s="125"/>
      <c r="B778" s="2"/>
      <c r="C778" s="75"/>
      <c r="D778" s="137"/>
      <c r="E778" s="52"/>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spans="1:26">
      <c r="A779" s="125"/>
      <c r="B779" s="2"/>
      <c r="C779" s="75"/>
      <c r="D779" s="137"/>
      <c r="E779" s="52"/>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spans="1:26">
      <c r="A780" s="125"/>
      <c r="B780" s="2"/>
      <c r="C780" s="75"/>
      <c r="D780" s="137"/>
      <c r="E780" s="52"/>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spans="1:26">
      <c r="A781" s="125"/>
      <c r="B781" s="2"/>
      <c r="C781" s="75"/>
      <c r="D781" s="137"/>
      <c r="E781" s="52"/>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spans="1:26">
      <c r="A782" s="125"/>
      <c r="B782" s="2"/>
      <c r="C782" s="75"/>
      <c r="D782" s="137"/>
      <c r="E782" s="52"/>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spans="1:26">
      <c r="A783" s="125"/>
      <c r="B783" s="2"/>
      <c r="C783" s="75"/>
      <c r="D783" s="137"/>
      <c r="E783" s="52"/>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spans="1:26">
      <c r="A784" s="125"/>
      <c r="B784" s="2"/>
      <c r="C784" s="75"/>
      <c r="D784" s="137"/>
      <c r="E784" s="52"/>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spans="1:26">
      <c r="A785" s="125"/>
      <c r="B785" s="2"/>
      <c r="C785" s="75"/>
      <c r="D785" s="137"/>
      <c r="E785" s="52"/>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spans="1:26">
      <c r="A786" s="125"/>
      <c r="B786" s="2"/>
      <c r="C786" s="75"/>
      <c r="D786" s="137"/>
      <c r="E786" s="52"/>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spans="1:26">
      <c r="A787" s="125"/>
      <c r="B787" s="2"/>
      <c r="C787" s="75"/>
      <c r="D787" s="137"/>
      <c r="E787" s="52"/>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spans="1:26">
      <c r="A788" s="125"/>
      <c r="B788" s="2"/>
      <c r="C788" s="75"/>
      <c r="D788" s="137"/>
      <c r="E788" s="52"/>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spans="1:26">
      <c r="A789" s="125"/>
      <c r="B789" s="2"/>
      <c r="C789" s="75"/>
      <c r="D789" s="137"/>
      <c r="E789" s="52"/>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spans="1:26">
      <c r="A790" s="125"/>
      <c r="B790" s="2"/>
      <c r="C790" s="75"/>
      <c r="D790" s="137"/>
      <c r="E790" s="52"/>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spans="1:26">
      <c r="A791" s="125"/>
      <c r="B791" s="2"/>
      <c r="C791" s="75"/>
      <c r="D791" s="137"/>
      <c r="E791" s="52"/>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spans="1:26">
      <c r="A792" s="125"/>
      <c r="B792" s="2"/>
      <c r="C792" s="75"/>
      <c r="D792" s="137"/>
      <c r="E792" s="52"/>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spans="1:26">
      <c r="A793" s="125"/>
      <c r="B793" s="2"/>
      <c r="C793" s="75"/>
      <c r="D793" s="137"/>
      <c r="E793" s="52"/>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spans="1:26">
      <c r="A794" s="125"/>
      <c r="B794" s="2"/>
      <c r="C794" s="75"/>
      <c r="D794" s="137"/>
      <c r="E794" s="52"/>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spans="1:26">
      <c r="A795" s="125"/>
      <c r="B795" s="2"/>
      <c r="C795" s="75"/>
      <c r="D795" s="137"/>
      <c r="E795" s="52"/>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spans="1:26">
      <c r="A796" s="125"/>
      <c r="B796" s="2"/>
      <c r="C796" s="75"/>
      <c r="D796" s="137"/>
      <c r="E796" s="52"/>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spans="1:26">
      <c r="A797" s="125"/>
      <c r="B797" s="2"/>
      <c r="C797" s="75"/>
      <c r="D797" s="137"/>
      <c r="E797" s="52"/>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spans="1:26">
      <c r="A798" s="125"/>
      <c r="B798" s="2"/>
      <c r="C798" s="75"/>
      <c r="D798" s="137"/>
      <c r="E798" s="52"/>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spans="1:26">
      <c r="A799" s="125"/>
      <c r="B799" s="2"/>
      <c r="C799" s="75"/>
      <c r="D799" s="137"/>
      <c r="E799" s="52"/>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spans="1:26">
      <c r="A800" s="125"/>
      <c r="B800" s="2"/>
      <c r="C800" s="75"/>
      <c r="D800" s="137"/>
      <c r="E800" s="52"/>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spans="1:26">
      <c r="A801" s="125"/>
      <c r="B801" s="2"/>
      <c r="C801" s="75"/>
      <c r="D801" s="137"/>
      <c r="E801" s="52"/>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spans="1:26">
      <c r="A802" s="125"/>
      <c r="B802" s="2"/>
      <c r="C802" s="75"/>
      <c r="D802" s="137"/>
      <c r="E802" s="52"/>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spans="1:26">
      <c r="A803" s="125"/>
      <c r="B803" s="2"/>
      <c r="C803" s="75"/>
      <c r="D803" s="137"/>
      <c r="E803" s="52"/>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spans="1:26">
      <c r="A804" s="125"/>
      <c r="B804" s="2"/>
      <c r="C804" s="75"/>
      <c r="D804" s="137"/>
      <c r="E804" s="52"/>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spans="1:26">
      <c r="A805" s="125"/>
      <c r="B805" s="2"/>
      <c r="C805" s="75"/>
      <c r="D805" s="137"/>
      <c r="E805" s="52"/>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spans="1:26">
      <c r="A806" s="125"/>
      <c r="B806" s="2"/>
      <c r="C806" s="75"/>
      <c r="D806" s="137"/>
      <c r="E806" s="52"/>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spans="1:26">
      <c r="A807" s="125"/>
      <c r="B807" s="2"/>
      <c r="C807" s="75"/>
      <c r="D807" s="137"/>
      <c r="E807" s="52"/>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spans="1:26">
      <c r="A808" s="125"/>
      <c r="B808" s="2"/>
      <c r="C808" s="75"/>
      <c r="D808" s="137"/>
      <c r="E808" s="52"/>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spans="1:26">
      <c r="A809" s="125"/>
      <c r="B809" s="2"/>
      <c r="C809" s="75"/>
      <c r="D809" s="137"/>
      <c r="E809" s="52"/>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spans="1:26">
      <c r="A810" s="125"/>
      <c r="B810" s="2"/>
      <c r="C810" s="75"/>
      <c r="D810" s="137"/>
      <c r="E810" s="52"/>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spans="1:26">
      <c r="A811" s="125"/>
      <c r="B811" s="2"/>
      <c r="C811" s="75"/>
      <c r="D811" s="137"/>
      <c r="E811" s="52"/>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spans="1:26">
      <c r="A812" s="125"/>
      <c r="B812" s="2"/>
      <c r="C812" s="75"/>
      <c r="D812" s="137"/>
      <c r="E812" s="52"/>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spans="1:26">
      <c r="A813" s="125"/>
      <c r="B813" s="2"/>
      <c r="C813" s="75"/>
      <c r="D813" s="137"/>
      <c r="E813" s="52"/>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spans="1:26">
      <c r="A814" s="125"/>
      <c r="B814" s="2"/>
      <c r="C814" s="75"/>
      <c r="D814" s="137"/>
      <c r="E814" s="52"/>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spans="1:26">
      <c r="A815" s="125"/>
      <c r="B815" s="2"/>
      <c r="C815" s="75"/>
      <c r="D815" s="137"/>
      <c r="E815" s="52"/>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spans="1:26">
      <c r="A816" s="125"/>
      <c r="B816" s="2"/>
      <c r="C816" s="75"/>
      <c r="D816" s="137"/>
      <c r="E816" s="52"/>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spans="1:26">
      <c r="A817" s="125"/>
      <c r="B817" s="2"/>
      <c r="C817" s="75"/>
      <c r="D817" s="137"/>
      <c r="E817" s="52"/>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spans="1:26">
      <c r="A818" s="125"/>
      <c r="B818" s="2"/>
      <c r="C818" s="75"/>
      <c r="D818" s="137"/>
      <c r="E818" s="52"/>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spans="1:26">
      <c r="A819" s="125"/>
      <c r="B819" s="2"/>
      <c r="C819" s="75"/>
      <c r="D819" s="137"/>
      <c r="E819" s="52"/>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spans="1:26">
      <c r="A820" s="125"/>
      <c r="B820" s="2"/>
      <c r="C820" s="75"/>
      <c r="D820" s="137"/>
      <c r="E820" s="52"/>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spans="1:26">
      <c r="A821" s="125"/>
      <c r="B821" s="2"/>
      <c r="C821" s="75"/>
      <c r="D821" s="137"/>
      <c r="E821" s="52"/>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spans="1:26">
      <c r="A822" s="125"/>
      <c r="B822" s="2"/>
      <c r="C822" s="75"/>
      <c r="D822" s="137"/>
      <c r="E822" s="52"/>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spans="1:26">
      <c r="A823" s="125"/>
      <c r="B823" s="2"/>
      <c r="C823" s="75"/>
      <c r="D823" s="137"/>
      <c r="E823" s="52"/>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spans="1:26">
      <c r="A824" s="125"/>
      <c r="B824" s="2"/>
      <c r="C824" s="75"/>
      <c r="D824" s="137"/>
      <c r="E824" s="52"/>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spans="1:26">
      <c r="A825" s="125"/>
      <c r="B825" s="2"/>
      <c r="C825" s="75"/>
      <c r="D825" s="137"/>
      <c r="E825" s="52"/>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spans="1:26">
      <c r="A826" s="125"/>
      <c r="B826" s="2"/>
      <c r="C826" s="75"/>
      <c r="D826" s="137"/>
      <c r="E826" s="52"/>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spans="1:26">
      <c r="A827" s="125"/>
      <c r="B827" s="2"/>
      <c r="C827" s="75"/>
      <c r="D827" s="137"/>
      <c r="E827" s="52"/>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spans="1:26">
      <c r="A828" s="125"/>
      <c r="B828" s="2"/>
      <c r="C828" s="75"/>
      <c r="D828" s="137"/>
      <c r="E828" s="52"/>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spans="1:26">
      <c r="A829" s="125"/>
      <c r="B829" s="2"/>
      <c r="C829" s="75"/>
      <c r="D829" s="137"/>
      <c r="E829" s="52"/>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spans="1:26">
      <c r="A830" s="125"/>
      <c r="B830" s="2"/>
      <c r="C830" s="75"/>
      <c r="D830" s="137"/>
      <c r="E830" s="52"/>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spans="1:26">
      <c r="A831" s="125"/>
      <c r="B831" s="2"/>
      <c r="C831" s="75"/>
      <c r="D831" s="137"/>
      <c r="E831" s="52"/>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spans="1:26">
      <c r="A832" s="125"/>
      <c r="B832" s="2"/>
      <c r="C832" s="75"/>
      <c r="D832" s="137"/>
      <c r="E832" s="52"/>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spans="1:26">
      <c r="A833" s="125"/>
      <c r="B833" s="2"/>
      <c r="C833" s="75"/>
      <c r="D833" s="137"/>
      <c r="E833" s="52"/>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spans="1:26">
      <c r="A834" s="125"/>
      <c r="B834" s="2"/>
      <c r="C834" s="75"/>
      <c r="D834" s="137"/>
      <c r="E834" s="52"/>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spans="1:26">
      <c r="A835" s="125"/>
      <c r="B835" s="2"/>
      <c r="C835" s="75"/>
      <c r="D835" s="137"/>
      <c r="E835" s="52"/>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spans="1:26">
      <c r="A836" s="125"/>
      <c r="B836" s="2"/>
      <c r="C836" s="75"/>
      <c r="D836" s="137"/>
      <c r="E836" s="52"/>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spans="1:26">
      <c r="A837" s="125"/>
      <c r="B837" s="2"/>
      <c r="C837" s="75"/>
      <c r="D837" s="137"/>
      <c r="E837" s="52"/>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spans="1:26">
      <c r="A838" s="125"/>
      <c r="B838" s="2"/>
      <c r="C838" s="75"/>
      <c r="D838" s="137"/>
      <c r="E838" s="52"/>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spans="1:26">
      <c r="A839" s="125"/>
      <c r="B839" s="2"/>
      <c r="C839" s="75"/>
      <c r="D839" s="137"/>
      <c r="E839" s="52"/>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spans="1:26">
      <c r="A840" s="125"/>
      <c r="B840" s="2"/>
      <c r="C840" s="75"/>
      <c r="D840" s="137"/>
      <c r="E840" s="52"/>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spans="1:26">
      <c r="A841" s="125"/>
      <c r="B841" s="2"/>
      <c r="C841" s="75"/>
      <c r="D841" s="137"/>
      <c r="E841" s="52"/>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spans="1:26">
      <c r="A842" s="125"/>
      <c r="B842" s="2"/>
      <c r="C842" s="75"/>
      <c r="D842" s="137"/>
      <c r="E842" s="52"/>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spans="1:26">
      <c r="A843" s="125"/>
      <c r="B843" s="2"/>
      <c r="C843" s="75"/>
      <c r="D843" s="137"/>
      <c r="E843" s="52"/>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spans="1:26">
      <c r="A844" s="125"/>
      <c r="B844" s="2"/>
      <c r="C844" s="75"/>
      <c r="D844" s="137"/>
      <c r="E844" s="52"/>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spans="1:26">
      <c r="A845" s="125"/>
      <c r="B845" s="2"/>
      <c r="C845" s="75"/>
      <c r="D845" s="137"/>
      <c r="E845" s="52"/>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spans="1:26">
      <c r="A846" s="125"/>
      <c r="B846" s="2"/>
      <c r="C846" s="75"/>
      <c r="D846" s="137"/>
      <c r="E846" s="52"/>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spans="1:26">
      <c r="A847" s="125"/>
      <c r="B847" s="2"/>
      <c r="C847" s="75"/>
      <c r="D847" s="137"/>
      <c r="E847" s="52"/>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spans="1:26">
      <c r="A848" s="125"/>
      <c r="B848" s="2"/>
      <c r="C848" s="75"/>
      <c r="D848" s="137"/>
      <c r="E848" s="52"/>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spans="1:26">
      <c r="A849" s="125"/>
      <c r="B849" s="2"/>
      <c r="C849" s="75"/>
      <c r="D849" s="137"/>
      <c r="E849" s="52"/>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spans="1:26">
      <c r="A850" s="125"/>
      <c r="B850" s="2"/>
      <c r="C850" s="75"/>
      <c r="D850" s="137"/>
      <c r="E850" s="52"/>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spans="1:26">
      <c r="A851" s="125"/>
      <c r="B851" s="2"/>
      <c r="C851" s="75"/>
      <c r="D851" s="137"/>
      <c r="E851" s="52"/>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spans="1:26">
      <c r="A852" s="125"/>
      <c r="B852" s="2"/>
      <c r="C852" s="75"/>
      <c r="D852" s="137"/>
      <c r="E852" s="52"/>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spans="1:26">
      <c r="A853" s="125"/>
      <c r="B853" s="2"/>
      <c r="C853" s="75"/>
      <c r="D853" s="137"/>
      <c r="E853" s="52"/>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spans="1:26">
      <c r="A854" s="125"/>
      <c r="B854" s="2"/>
      <c r="C854" s="75"/>
      <c r="D854" s="137"/>
      <c r="E854" s="52"/>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spans="1:26">
      <c r="A855" s="125"/>
      <c r="B855" s="2"/>
      <c r="C855" s="75"/>
      <c r="D855" s="137"/>
      <c r="E855" s="52"/>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spans="1:26">
      <c r="A856" s="125"/>
      <c r="B856" s="2"/>
      <c r="C856" s="75"/>
      <c r="D856" s="137"/>
      <c r="E856" s="52"/>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spans="1:26">
      <c r="A857" s="125"/>
      <c r="B857" s="2"/>
      <c r="C857" s="75"/>
      <c r="D857" s="137"/>
      <c r="E857" s="52"/>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spans="1:26">
      <c r="A858" s="125"/>
      <c r="B858" s="2"/>
      <c r="C858" s="75"/>
      <c r="D858" s="137"/>
      <c r="E858" s="52"/>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spans="1:26">
      <c r="A859" s="125"/>
      <c r="B859" s="2"/>
      <c r="C859" s="75"/>
      <c r="D859" s="137"/>
      <c r="E859" s="52"/>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spans="1:26">
      <c r="A860" s="125"/>
      <c r="B860" s="2"/>
      <c r="C860" s="75"/>
      <c r="D860" s="137"/>
      <c r="E860" s="52"/>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spans="1:26">
      <c r="A861" s="125"/>
      <c r="B861" s="2"/>
      <c r="C861" s="75"/>
      <c r="D861" s="137"/>
      <c r="E861" s="52"/>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spans="1:26">
      <c r="A862" s="125"/>
      <c r="B862" s="2"/>
      <c r="C862" s="75"/>
      <c r="D862" s="137"/>
      <c r="E862" s="52"/>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spans="1:26">
      <c r="A863" s="125"/>
      <c r="B863" s="2"/>
      <c r="C863" s="75"/>
      <c r="D863" s="137"/>
      <c r="E863" s="52"/>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spans="1:26">
      <c r="A864" s="125"/>
      <c r="B864" s="2"/>
      <c r="C864" s="75"/>
      <c r="D864" s="137"/>
      <c r="E864" s="52"/>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spans="1:26">
      <c r="A865" s="125"/>
      <c r="B865" s="2"/>
      <c r="C865" s="75"/>
      <c r="D865" s="137"/>
      <c r="E865" s="52"/>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spans="1:26">
      <c r="A866" s="125"/>
      <c r="B866" s="2"/>
      <c r="C866" s="75"/>
      <c r="D866" s="137"/>
      <c r="E866" s="52"/>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spans="1:26">
      <c r="A867" s="125"/>
      <c r="B867" s="2"/>
      <c r="C867" s="75"/>
      <c r="D867" s="137"/>
      <c r="E867" s="52"/>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spans="1:26">
      <c r="A868" s="125"/>
      <c r="B868" s="2"/>
      <c r="C868" s="75"/>
      <c r="D868" s="137"/>
      <c r="E868" s="52"/>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spans="1:26">
      <c r="A869" s="125"/>
      <c r="B869" s="2"/>
      <c r="C869" s="75"/>
      <c r="D869" s="137"/>
      <c r="E869" s="52"/>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spans="1:26">
      <c r="A870" s="125"/>
      <c r="B870" s="2"/>
      <c r="C870" s="75"/>
      <c r="D870" s="137"/>
      <c r="E870" s="52"/>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spans="1:26">
      <c r="A871" s="125"/>
      <c r="B871" s="2"/>
      <c r="C871" s="75"/>
      <c r="D871" s="137"/>
      <c r="E871" s="52"/>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spans="1:26">
      <c r="A872" s="125"/>
      <c r="B872" s="2"/>
      <c r="C872" s="75"/>
      <c r="D872" s="137"/>
      <c r="E872" s="52"/>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spans="1:26">
      <c r="A873" s="125"/>
      <c r="B873" s="2"/>
      <c r="C873" s="75"/>
      <c r="D873" s="137"/>
      <c r="E873" s="52"/>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spans="1:26">
      <c r="A874" s="125"/>
      <c r="B874" s="2"/>
      <c r="C874" s="75"/>
      <c r="D874" s="137"/>
      <c r="E874" s="52"/>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spans="1:26">
      <c r="A875" s="125"/>
      <c r="B875" s="2"/>
      <c r="C875" s="75"/>
      <c r="D875" s="137"/>
      <c r="E875" s="52"/>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spans="1:26">
      <c r="A876" s="125"/>
      <c r="B876" s="2"/>
      <c r="C876" s="75"/>
      <c r="D876" s="137"/>
      <c r="E876" s="52"/>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spans="1:26">
      <c r="A877" s="125"/>
      <c r="B877" s="2"/>
      <c r="C877" s="75"/>
      <c r="D877" s="137"/>
      <c r="E877" s="52"/>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spans="1:26">
      <c r="A878" s="125"/>
      <c r="B878" s="2"/>
      <c r="C878" s="75"/>
      <c r="D878" s="137"/>
      <c r="E878" s="52"/>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spans="1:26">
      <c r="A879" s="125"/>
      <c r="B879" s="2"/>
      <c r="C879" s="75"/>
      <c r="D879" s="137"/>
      <c r="E879" s="52"/>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spans="1:26">
      <c r="A880" s="125"/>
      <c r="B880" s="2"/>
      <c r="C880" s="75"/>
      <c r="D880" s="137"/>
      <c r="E880" s="52"/>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spans="1:26">
      <c r="A881" s="125"/>
      <c r="B881" s="2"/>
      <c r="C881" s="75"/>
      <c r="D881" s="137"/>
      <c r="E881" s="52"/>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spans="1:26">
      <c r="A882" s="125"/>
      <c r="B882" s="2"/>
      <c r="C882" s="75"/>
      <c r="D882" s="137"/>
      <c r="E882" s="52"/>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spans="1:26">
      <c r="A883" s="125"/>
      <c r="B883" s="2"/>
      <c r="C883" s="75"/>
      <c r="D883" s="137"/>
      <c r="E883" s="52"/>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spans="1:26">
      <c r="A884" s="125"/>
      <c r="B884" s="2"/>
      <c r="C884" s="75"/>
      <c r="D884" s="137"/>
      <c r="E884" s="52"/>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spans="1:26">
      <c r="A885" s="125"/>
      <c r="B885" s="2"/>
      <c r="C885" s="75"/>
      <c r="D885" s="137"/>
      <c r="E885" s="52"/>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spans="1:26">
      <c r="A886" s="125"/>
      <c r="B886" s="2"/>
      <c r="C886" s="75"/>
      <c r="D886" s="137"/>
      <c r="E886" s="52"/>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spans="1:26">
      <c r="A887" s="125"/>
      <c r="B887" s="2"/>
      <c r="C887" s="75"/>
      <c r="D887" s="137"/>
      <c r="E887" s="52"/>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spans="1:26">
      <c r="A888" s="125"/>
      <c r="B888" s="2"/>
      <c r="C888" s="75"/>
      <c r="D888" s="137"/>
      <c r="E888" s="52"/>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spans="1:26">
      <c r="A889" s="125"/>
      <c r="B889" s="2"/>
      <c r="C889" s="75"/>
      <c r="D889" s="137"/>
      <c r="E889" s="52"/>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spans="1:26">
      <c r="A890" s="125"/>
      <c r="B890" s="2"/>
      <c r="C890" s="75"/>
      <c r="D890" s="137"/>
      <c r="E890" s="52"/>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spans="1:26">
      <c r="A891" s="125"/>
      <c r="B891" s="2"/>
      <c r="C891" s="75"/>
      <c r="D891" s="137"/>
      <c r="E891" s="52"/>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spans="1:26">
      <c r="A892" s="125"/>
      <c r="B892" s="2"/>
      <c r="C892" s="75"/>
      <c r="D892" s="137"/>
      <c r="E892" s="52"/>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spans="1:26">
      <c r="A893" s="125"/>
      <c r="B893" s="2"/>
      <c r="C893" s="75"/>
      <c r="D893" s="137"/>
      <c r="E893" s="52"/>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spans="1:26">
      <c r="A894" s="125"/>
      <c r="B894" s="2"/>
      <c r="C894" s="75"/>
      <c r="D894" s="137"/>
      <c r="E894" s="52"/>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spans="1:26">
      <c r="A895" s="125"/>
      <c r="B895" s="2"/>
      <c r="C895" s="75"/>
      <c r="D895" s="137"/>
      <c r="E895" s="52"/>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spans="1:26">
      <c r="A896" s="125"/>
      <c r="B896" s="2"/>
      <c r="C896" s="75"/>
      <c r="D896" s="137"/>
      <c r="E896" s="52"/>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spans="1:26">
      <c r="A897" s="125"/>
      <c r="B897" s="2"/>
      <c r="C897" s="75"/>
      <c r="D897" s="137"/>
      <c r="E897" s="52"/>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spans="1:26">
      <c r="A898" s="125"/>
      <c r="B898" s="2"/>
      <c r="C898" s="75"/>
      <c r="D898" s="137"/>
      <c r="E898" s="52"/>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spans="1:26">
      <c r="A899" s="125"/>
      <c r="B899" s="2"/>
      <c r="C899" s="75"/>
      <c r="D899" s="137"/>
      <c r="E899" s="52"/>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spans="1:26">
      <c r="A900" s="125"/>
      <c r="B900" s="2"/>
      <c r="C900" s="75"/>
      <c r="D900" s="137"/>
      <c r="E900" s="52"/>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spans="1:26">
      <c r="A901" s="125"/>
      <c r="B901" s="2"/>
      <c r="C901" s="75"/>
      <c r="D901" s="137"/>
      <c r="E901" s="52"/>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spans="1:26">
      <c r="A902" s="125"/>
      <c r="B902" s="2"/>
      <c r="C902" s="75"/>
      <c r="D902" s="137"/>
      <c r="E902" s="52"/>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spans="1:26">
      <c r="A903" s="125"/>
      <c r="B903" s="2"/>
      <c r="C903" s="75"/>
      <c r="D903" s="137"/>
      <c r="E903" s="52"/>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spans="1:26">
      <c r="A904" s="125"/>
      <c r="B904" s="2"/>
      <c r="C904" s="75"/>
      <c r="D904" s="137"/>
      <c r="E904" s="52"/>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spans="1:26">
      <c r="A905" s="125"/>
      <c r="B905" s="2"/>
      <c r="C905" s="75"/>
      <c r="D905" s="137"/>
      <c r="E905" s="52"/>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spans="1:26">
      <c r="A906" s="125"/>
      <c r="B906" s="2"/>
      <c r="C906" s="75"/>
      <c r="D906" s="137"/>
      <c r="E906" s="52"/>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spans="1:26">
      <c r="A907" s="125"/>
      <c r="B907" s="2"/>
      <c r="C907" s="75"/>
      <c r="D907" s="137"/>
      <c r="E907" s="52"/>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spans="1:26">
      <c r="A908" s="125"/>
      <c r="B908" s="2"/>
      <c r="C908" s="75"/>
      <c r="D908" s="137"/>
      <c r="E908" s="52"/>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spans="1:26">
      <c r="A909" s="125"/>
      <c r="B909" s="2"/>
      <c r="C909" s="75"/>
      <c r="D909" s="137"/>
      <c r="E909" s="52"/>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spans="1:26">
      <c r="A910" s="125"/>
      <c r="B910" s="2"/>
      <c r="C910" s="75"/>
      <c r="D910" s="137"/>
      <c r="E910" s="52"/>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spans="1:26">
      <c r="A911" s="125"/>
      <c r="B911" s="2"/>
      <c r="C911" s="75"/>
      <c r="D911" s="137"/>
      <c r="E911" s="52"/>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spans="1:26">
      <c r="A912" s="125"/>
      <c r="B912" s="2"/>
      <c r="C912" s="75"/>
      <c r="D912" s="137"/>
      <c r="E912" s="52"/>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spans="1:26">
      <c r="A913" s="125"/>
      <c r="B913" s="2"/>
      <c r="C913" s="75"/>
      <c r="D913" s="137"/>
      <c r="E913" s="52"/>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spans="1:26">
      <c r="A914" s="125"/>
      <c r="B914" s="2"/>
      <c r="C914" s="75"/>
      <c r="D914" s="137"/>
      <c r="E914" s="52"/>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spans="1:26">
      <c r="A915" s="125"/>
      <c r="B915" s="2"/>
      <c r="C915" s="75"/>
      <c r="D915" s="137"/>
      <c r="E915" s="52"/>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spans="1:26">
      <c r="A916" s="125"/>
      <c r="B916" s="2"/>
      <c r="C916" s="75"/>
      <c r="D916" s="137"/>
      <c r="E916" s="52"/>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spans="1:26">
      <c r="A917" s="125"/>
      <c r="B917" s="2"/>
      <c r="C917" s="75"/>
      <c r="D917" s="137"/>
      <c r="E917" s="52"/>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spans="1:26">
      <c r="A918" s="125"/>
      <c r="B918" s="2"/>
      <c r="C918" s="75"/>
      <c r="D918" s="137"/>
      <c r="E918" s="52"/>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spans="1:26">
      <c r="A919" s="125"/>
      <c r="B919" s="2"/>
      <c r="C919" s="75"/>
      <c r="D919" s="137"/>
      <c r="E919" s="52"/>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spans="1:26">
      <c r="A920" s="125"/>
      <c r="B920" s="2"/>
      <c r="C920" s="75"/>
      <c r="D920" s="137"/>
      <c r="E920" s="52"/>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spans="1:26">
      <c r="A921" s="125"/>
      <c r="B921" s="2"/>
      <c r="C921" s="75"/>
      <c r="D921" s="137"/>
      <c r="E921" s="52"/>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spans="1:26">
      <c r="A922" s="125"/>
      <c r="B922" s="2"/>
      <c r="C922" s="75"/>
      <c r="D922" s="137"/>
      <c r="E922" s="52"/>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spans="1:26">
      <c r="A923" s="125"/>
      <c r="B923" s="2"/>
      <c r="C923" s="75"/>
      <c r="D923" s="137"/>
      <c r="E923" s="52"/>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spans="1:26">
      <c r="A924" s="125"/>
      <c r="B924" s="2"/>
      <c r="C924" s="75"/>
      <c r="D924" s="137"/>
      <c r="E924" s="52"/>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spans="1:26">
      <c r="A925" s="125"/>
      <c r="B925" s="2"/>
      <c r="C925" s="75"/>
      <c r="D925" s="137"/>
      <c r="E925" s="52"/>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spans="1:26">
      <c r="A926" s="125"/>
      <c r="B926" s="2"/>
      <c r="C926" s="75"/>
      <c r="D926" s="137"/>
      <c r="E926" s="52"/>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spans="1:26">
      <c r="A927" s="125"/>
      <c r="B927" s="2"/>
      <c r="C927" s="75"/>
      <c r="D927" s="137"/>
      <c r="E927" s="52"/>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spans="1:26">
      <c r="A928" s="125"/>
      <c r="B928" s="2"/>
      <c r="C928" s="75"/>
      <c r="D928" s="137"/>
      <c r="E928" s="52"/>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spans="1:26">
      <c r="A929" s="125"/>
      <c r="B929" s="2"/>
      <c r="C929" s="75"/>
      <c r="D929" s="137"/>
      <c r="E929" s="52"/>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spans="1:26">
      <c r="A930" s="125"/>
      <c r="B930" s="2"/>
      <c r="C930" s="75"/>
      <c r="D930" s="137"/>
      <c r="E930" s="52"/>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spans="1:26">
      <c r="A931" s="125"/>
      <c r="B931" s="2"/>
      <c r="C931" s="75"/>
      <c r="D931" s="137"/>
      <c r="E931" s="52"/>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spans="1:26">
      <c r="A932" s="125"/>
      <c r="B932" s="2"/>
      <c r="C932" s="75"/>
      <c r="D932" s="137"/>
      <c r="E932" s="52"/>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spans="1:26">
      <c r="A933" s="125"/>
      <c r="B933" s="2"/>
      <c r="C933" s="75"/>
      <c r="D933" s="137"/>
      <c r="E933" s="52"/>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spans="1:26">
      <c r="A934" s="125"/>
      <c r="B934" s="2"/>
      <c r="C934" s="75"/>
      <c r="D934" s="137"/>
      <c r="E934" s="52"/>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spans="1:26">
      <c r="A935" s="125"/>
      <c r="B935" s="2"/>
      <c r="C935" s="75"/>
      <c r="D935" s="137"/>
      <c r="E935" s="52"/>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spans="1:26">
      <c r="A936" s="125"/>
      <c r="B936" s="2"/>
      <c r="C936" s="75"/>
      <c r="D936" s="137"/>
      <c r="E936" s="52"/>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spans="1:26">
      <c r="A937" s="125"/>
      <c r="B937" s="2"/>
      <c r="C937" s="75"/>
      <c r="D937" s="137"/>
      <c r="E937" s="52"/>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spans="1:26">
      <c r="A938" s="125"/>
      <c r="B938" s="2"/>
      <c r="C938" s="75"/>
      <c r="D938" s="137"/>
      <c r="E938" s="52"/>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spans="1:26">
      <c r="A939" s="125"/>
      <c r="B939" s="2"/>
      <c r="C939" s="75"/>
      <c r="D939" s="137"/>
      <c r="E939" s="52"/>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spans="1:26">
      <c r="A940" s="125"/>
      <c r="B940" s="2"/>
      <c r="C940" s="75"/>
      <c r="D940" s="137"/>
      <c r="E940" s="52"/>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spans="1:26">
      <c r="A941" s="125"/>
      <c r="B941" s="2"/>
      <c r="C941" s="75"/>
      <c r="D941" s="137"/>
      <c r="E941" s="52"/>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spans="1:26">
      <c r="A942" s="125"/>
      <c r="B942" s="2"/>
      <c r="C942" s="75"/>
      <c r="D942" s="137"/>
      <c r="E942" s="52"/>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spans="1:26">
      <c r="A943" s="125"/>
      <c r="B943" s="2"/>
      <c r="C943" s="75"/>
      <c r="D943" s="137"/>
      <c r="E943" s="52"/>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spans="1:26">
      <c r="A944" s="125"/>
      <c r="B944" s="2"/>
      <c r="C944" s="75"/>
      <c r="D944" s="137"/>
      <c r="E944" s="52"/>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spans="1:26">
      <c r="A945" s="125"/>
      <c r="B945" s="2"/>
      <c r="C945" s="75"/>
      <c r="D945" s="137"/>
      <c r="E945" s="52"/>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spans="1:26">
      <c r="A946" s="125"/>
      <c r="B946" s="2"/>
      <c r="C946" s="75"/>
      <c r="D946" s="137"/>
      <c r="E946" s="52"/>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spans="1:26">
      <c r="A947" s="125"/>
      <c r="B947" s="2"/>
      <c r="C947" s="75"/>
      <c r="D947" s="137"/>
      <c r="E947" s="52"/>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spans="1:26">
      <c r="A948" s="125"/>
      <c r="B948" s="2"/>
      <c r="C948" s="75"/>
      <c r="D948" s="137"/>
      <c r="E948" s="52"/>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spans="1:26">
      <c r="A949" s="125"/>
      <c r="B949" s="2"/>
      <c r="C949" s="75"/>
      <c r="D949" s="137"/>
      <c r="E949" s="52"/>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spans="1:26">
      <c r="A950" s="125"/>
      <c r="B950" s="2"/>
      <c r="C950" s="75"/>
      <c r="D950" s="137"/>
      <c r="E950" s="52"/>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spans="1:26">
      <c r="A951" s="125"/>
      <c r="B951" s="2"/>
      <c r="C951" s="75"/>
      <c r="D951" s="137"/>
      <c r="E951" s="52"/>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spans="1:26">
      <c r="A952" s="125"/>
      <c r="B952" s="2"/>
      <c r="C952" s="75"/>
      <c r="D952" s="137"/>
      <c r="E952" s="52"/>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spans="1:26">
      <c r="A953" s="125"/>
      <c r="B953" s="2"/>
      <c r="C953" s="75"/>
      <c r="D953" s="137"/>
      <c r="E953" s="52"/>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spans="1:26">
      <c r="A954" s="125"/>
      <c r="B954" s="2"/>
      <c r="C954" s="75"/>
      <c r="D954" s="137"/>
      <c r="E954" s="52"/>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spans="1:26">
      <c r="A955" s="125"/>
      <c r="B955" s="2"/>
      <c r="C955" s="75"/>
      <c r="D955" s="137"/>
      <c r="E955" s="52"/>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spans="1:26">
      <c r="A956" s="125"/>
      <c r="B956" s="2"/>
      <c r="C956" s="75"/>
      <c r="D956" s="137"/>
      <c r="E956" s="52"/>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spans="1:26">
      <c r="A957" s="125"/>
      <c r="B957" s="2"/>
      <c r="C957" s="75"/>
      <c r="D957" s="137"/>
      <c r="E957" s="52"/>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spans="1:26">
      <c r="A958" s="125"/>
      <c r="B958" s="2"/>
      <c r="C958" s="75"/>
      <c r="D958" s="137"/>
      <c r="E958" s="52"/>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spans="1:26">
      <c r="A959" s="125"/>
      <c r="B959" s="2"/>
      <c r="C959" s="75"/>
      <c r="D959" s="137"/>
      <c r="E959" s="52"/>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spans="1:26">
      <c r="A960" s="125"/>
      <c r="B960" s="2"/>
      <c r="C960" s="75"/>
      <c r="D960" s="137"/>
      <c r="E960" s="52"/>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spans="1:26">
      <c r="A961" s="125"/>
      <c r="B961" s="2"/>
      <c r="C961" s="75"/>
      <c r="D961" s="137"/>
      <c r="E961" s="52"/>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spans="1:26">
      <c r="A962" s="125"/>
      <c r="B962" s="2"/>
      <c r="C962" s="75"/>
      <c r="D962" s="137"/>
      <c r="E962" s="52"/>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spans="1:26">
      <c r="A963" s="125"/>
      <c r="B963" s="2"/>
      <c r="C963" s="75"/>
      <c r="D963" s="137"/>
      <c r="E963" s="52"/>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spans="1:26">
      <c r="A964" s="125"/>
      <c r="B964" s="2"/>
      <c r="C964" s="75"/>
      <c r="D964" s="137"/>
      <c r="E964" s="52"/>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spans="1:26">
      <c r="A965" s="125"/>
      <c r="B965" s="2"/>
      <c r="C965" s="75"/>
      <c r="D965" s="137"/>
      <c r="E965" s="52"/>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spans="1:26">
      <c r="A966" s="125"/>
      <c r="B966" s="2"/>
      <c r="C966" s="75"/>
      <c r="D966" s="137"/>
      <c r="E966" s="52"/>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spans="1:26">
      <c r="A967" s="125"/>
      <c r="B967" s="2"/>
      <c r="C967" s="75"/>
      <c r="D967" s="137"/>
      <c r="E967" s="52"/>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spans="1:26">
      <c r="A968" s="125"/>
      <c r="B968" s="2"/>
      <c r="C968" s="75"/>
      <c r="D968" s="137"/>
      <c r="E968" s="52"/>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spans="1:26">
      <c r="A969" s="125"/>
      <c r="B969" s="2"/>
      <c r="C969" s="75"/>
      <c r="D969" s="137"/>
      <c r="E969" s="52"/>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spans="1:26">
      <c r="A970" s="125"/>
      <c r="B970" s="2"/>
      <c r="C970" s="75"/>
      <c r="D970" s="137"/>
      <c r="E970" s="52"/>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spans="1:26">
      <c r="A971" s="125"/>
      <c r="B971" s="2"/>
      <c r="C971" s="75"/>
      <c r="D971" s="137"/>
      <c r="E971" s="52"/>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spans="1:26">
      <c r="A972" s="125"/>
      <c r="B972" s="2"/>
      <c r="C972" s="75"/>
      <c r="D972" s="137"/>
      <c r="E972" s="52"/>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spans="1:26">
      <c r="A973" s="125"/>
      <c r="B973" s="2"/>
      <c r="C973" s="75"/>
      <c r="D973" s="137"/>
      <c r="E973" s="52"/>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spans="1:26">
      <c r="A974" s="125"/>
      <c r="B974" s="2"/>
      <c r="C974" s="75"/>
      <c r="D974" s="137"/>
      <c r="E974" s="52"/>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spans="1:26">
      <c r="A975" s="125"/>
      <c r="B975" s="2"/>
      <c r="C975" s="75"/>
      <c r="D975" s="137"/>
      <c r="E975" s="52"/>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spans="1:26">
      <c r="A976" s="125"/>
      <c r="B976" s="2"/>
      <c r="C976" s="75"/>
      <c r="D976" s="137"/>
      <c r="E976" s="52"/>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spans="1:26">
      <c r="A977" s="125"/>
      <c r="B977" s="2"/>
      <c r="C977" s="75"/>
      <c r="D977" s="137"/>
      <c r="E977" s="52"/>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spans="1:26">
      <c r="A978" s="125"/>
      <c r="B978" s="2"/>
      <c r="C978" s="75"/>
      <c r="D978" s="137"/>
      <c r="E978" s="52"/>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spans="1:26">
      <c r="A979" s="125"/>
      <c r="B979" s="2"/>
      <c r="C979" s="75"/>
      <c r="D979" s="137"/>
      <c r="E979" s="52"/>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spans="1:26">
      <c r="A980" s="125"/>
      <c r="B980" s="2"/>
      <c r="C980" s="75"/>
      <c r="D980" s="137"/>
      <c r="E980" s="52"/>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spans="1:26">
      <c r="A981" s="125"/>
      <c r="B981" s="2"/>
      <c r="C981" s="75"/>
      <c r="D981" s="137"/>
      <c r="E981" s="52"/>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spans="1:26">
      <c r="A982" s="125"/>
      <c r="B982" s="2"/>
      <c r="C982" s="75"/>
      <c r="D982" s="137"/>
      <c r="E982" s="52"/>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spans="1:26">
      <c r="A983" s="125"/>
      <c r="B983" s="2"/>
      <c r="C983" s="75"/>
      <c r="D983" s="137"/>
      <c r="E983" s="52"/>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spans="1:26">
      <c r="A984" s="125"/>
      <c r="B984" s="2"/>
      <c r="C984" s="75"/>
      <c r="D984" s="137"/>
      <c r="E984" s="52"/>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spans="1:26">
      <c r="A985" s="125"/>
      <c r="B985" s="2"/>
      <c r="C985" s="75"/>
      <c r="D985" s="137"/>
      <c r="E985" s="52"/>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spans="1:26">
      <c r="A986" s="125"/>
      <c r="B986" s="2"/>
      <c r="C986" s="75"/>
      <c r="D986" s="137"/>
      <c r="E986" s="52"/>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spans="1:26">
      <c r="A987" s="125"/>
      <c r="B987" s="2"/>
      <c r="C987" s="75"/>
      <c r="D987" s="137"/>
      <c r="E987" s="52"/>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spans="1:26">
      <c r="A988" s="125"/>
      <c r="B988" s="2"/>
      <c r="C988" s="75"/>
      <c r="D988" s="137"/>
      <c r="E988" s="52"/>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spans="1:26">
      <c r="A989" s="125"/>
      <c r="B989" s="2"/>
      <c r="C989" s="75"/>
      <c r="D989" s="137"/>
      <c r="E989" s="52"/>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spans="1:26">
      <c r="A990" s="125"/>
      <c r="B990" s="2"/>
      <c r="C990" s="75"/>
      <c r="D990" s="137"/>
      <c r="E990" s="52"/>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spans="1:26">
      <c r="A991" s="125"/>
      <c r="B991" s="2"/>
      <c r="C991" s="75"/>
      <c r="D991" s="137"/>
      <c r="E991" s="52"/>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spans="1:26">
      <c r="A992" s="125"/>
      <c r="B992" s="2"/>
      <c r="C992" s="75"/>
      <c r="D992" s="137"/>
      <c r="E992" s="52"/>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spans="1:26">
      <c r="A993" s="125"/>
      <c r="B993" s="2"/>
      <c r="C993" s="75"/>
      <c r="D993" s="137"/>
      <c r="E993" s="52"/>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spans="1:26">
      <c r="A994" s="125"/>
      <c r="B994" s="2"/>
      <c r="C994" s="75"/>
      <c r="D994" s="137"/>
      <c r="E994" s="52"/>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spans="1:26">
      <c r="A995" s="125"/>
      <c r="B995" s="2"/>
      <c r="C995" s="75"/>
      <c r="D995" s="137"/>
      <c r="E995" s="52"/>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spans="1:26">
      <c r="A996" s="125"/>
      <c r="B996" s="2"/>
      <c r="C996" s="75"/>
      <c r="D996" s="137"/>
      <c r="E996" s="52"/>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spans="1:26">
      <c r="A997" s="125"/>
      <c r="B997" s="2"/>
      <c r="C997" s="75"/>
      <c r="D997" s="137"/>
      <c r="E997" s="52"/>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spans="1:26">
      <c r="A998" s="125"/>
      <c r="B998" s="2"/>
      <c r="C998" s="75"/>
      <c r="D998" s="137"/>
      <c r="E998" s="52"/>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spans="1:26">
      <c r="A999" s="125"/>
      <c r="B999" s="2"/>
      <c r="C999" s="75"/>
      <c r="D999" s="137"/>
      <c r="E999" s="52"/>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spans="1:26">
      <c r="A1000" s="125"/>
      <c r="B1000" s="2"/>
      <c r="C1000" s="75"/>
      <c r="D1000" s="137"/>
      <c r="E1000" s="52"/>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row r="1001" spans="1:26">
      <c r="A1001" s="125"/>
      <c r="B1001" s="2"/>
      <c r="C1001" s="75"/>
      <c r="D1001" s="137"/>
      <c r="E1001" s="52"/>
      <c r="F1001" s="133"/>
      <c r="G1001" s="133"/>
      <c r="H1001" s="133"/>
      <c r="I1001" s="133"/>
      <c r="J1001" s="133"/>
      <c r="K1001" s="133"/>
      <c r="L1001" s="133"/>
      <c r="M1001" s="133"/>
      <c r="N1001" s="133"/>
      <c r="O1001" s="133"/>
      <c r="P1001" s="133"/>
      <c r="Q1001" s="133"/>
      <c r="R1001" s="133"/>
      <c r="S1001" s="133"/>
      <c r="T1001" s="133"/>
      <c r="U1001" s="133"/>
      <c r="V1001" s="133"/>
      <c r="W1001" s="133"/>
      <c r="X1001" s="133"/>
      <c r="Y1001" s="133"/>
      <c r="Z1001" s="133"/>
    </row>
    <row r="1002" spans="1:26">
      <c r="A1002" s="125"/>
      <c r="B1002" s="2"/>
      <c r="C1002" s="75"/>
      <c r="D1002" s="137"/>
      <c r="E1002" s="52"/>
      <c r="F1002" s="133"/>
      <c r="G1002" s="133"/>
      <c r="H1002" s="133"/>
      <c r="I1002" s="133"/>
      <c r="J1002" s="133"/>
      <c r="K1002" s="133"/>
      <c r="L1002" s="133"/>
      <c r="M1002" s="133"/>
      <c r="N1002" s="133"/>
      <c r="O1002" s="133"/>
      <c r="P1002" s="133"/>
      <c r="Q1002" s="133"/>
      <c r="R1002" s="133"/>
      <c r="S1002" s="133"/>
      <c r="T1002" s="133"/>
      <c r="U1002" s="133"/>
      <c r="V1002" s="133"/>
      <c r="W1002" s="133"/>
      <c r="X1002" s="133"/>
      <c r="Y1002" s="133"/>
      <c r="Z1002" s="133"/>
    </row>
    <row r="1003" spans="1:26">
      <c r="A1003" s="125"/>
      <c r="B1003" s="2"/>
      <c r="C1003" s="75"/>
      <c r="D1003" s="137"/>
      <c r="E1003" s="52"/>
      <c r="F1003" s="133"/>
      <c r="G1003" s="133"/>
      <c r="H1003" s="133"/>
      <c r="I1003" s="133"/>
      <c r="J1003" s="133"/>
      <c r="K1003" s="133"/>
      <c r="L1003" s="133"/>
      <c r="M1003" s="133"/>
      <c r="N1003" s="133"/>
      <c r="O1003" s="133"/>
      <c r="P1003" s="133"/>
      <c r="Q1003" s="133"/>
      <c r="R1003" s="133"/>
      <c r="S1003" s="133"/>
      <c r="T1003" s="133"/>
      <c r="U1003" s="133"/>
      <c r="V1003" s="133"/>
      <c r="W1003" s="133"/>
      <c r="X1003" s="133"/>
      <c r="Y1003" s="133"/>
      <c r="Z1003" s="133"/>
    </row>
    <row r="1004" spans="1:26">
      <c r="A1004" s="125"/>
      <c r="B1004" s="2"/>
      <c r="C1004" s="75"/>
      <c r="D1004" s="137"/>
      <c r="E1004" s="52"/>
      <c r="F1004" s="133"/>
      <c r="G1004" s="133"/>
      <c r="H1004" s="133"/>
      <c r="I1004" s="133"/>
      <c r="J1004" s="133"/>
      <c r="K1004" s="133"/>
      <c r="L1004" s="133"/>
      <c r="M1004" s="133"/>
      <c r="N1004" s="133"/>
      <c r="O1004" s="133"/>
      <c r="P1004" s="133"/>
      <c r="Q1004" s="133"/>
      <c r="R1004" s="133"/>
      <c r="S1004" s="133"/>
      <c r="T1004" s="133"/>
      <c r="U1004" s="133"/>
      <c r="V1004" s="133"/>
      <c r="W1004" s="133"/>
      <c r="X1004" s="133"/>
      <c r="Y1004" s="133"/>
      <c r="Z1004" s="133"/>
    </row>
    <row r="1005" spans="1:26">
      <c r="A1005" s="125"/>
      <c r="B1005" s="2"/>
      <c r="C1005" s="75"/>
      <c r="D1005" s="137"/>
      <c r="E1005" s="52"/>
      <c r="F1005" s="133"/>
      <c r="G1005" s="133"/>
      <c r="H1005" s="133"/>
      <c r="I1005" s="133"/>
      <c r="J1005" s="133"/>
      <c r="K1005" s="133"/>
      <c r="L1005" s="133"/>
      <c r="M1005" s="133"/>
      <c r="N1005" s="133"/>
      <c r="O1005" s="133"/>
      <c r="P1005" s="133"/>
      <c r="Q1005" s="133"/>
      <c r="R1005" s="133"/>
      <c r="S1005" s="133"/>
      <c r="T1005" s="133"/>
      <c r="U1005" s="133"/>
      <c r="V1005" s="133"/>
      <c r="W1005" s="133"/>
      <c r="X1005" s="133"/>
      <c r="Y1005" s="133"/>
      <c r="Z1005" s="133"/>
    </row>
    <row r="1006" spans="1:26">
      <c r="A1006" s="125"/>
      <c r="B1006" s="2"/>
      <c r="C1006" s="75"/>
      <c r="D1006" s="137"/>
      <c r="E1006" s="52"/>
      <c r="F1006" s="133"/>
      <c r="G1006" s="133"/>
      <c r="H1006" s="133"/>
      <c r="I1006" s="133"/>
      <c r="J1006" s="133"/>
      <c r="K1006" s="133"/>
      <c r="L1006" s="133"/>
      <c r="M1006" s="133"/>
      <c r="N1006" s="133"/>
      <c r="O1006" s="133"/>
      <c r="P1006" s="133"/>
      <c r="Q1006" s="133"/>
      <c r="R1006" s="133"/>
      <c r="S1006" s="133"/>
      <c r="T1006" s="133"/>
      <c r="U1006" s="133"/>
      <c r="V1006" s="133"/>
      <c r="W1006" s="133"/>
      <c r="X1006" s="133"/>
      <c r="Y1006" s="133"/>
      <c r="Z1006" s="133"/>
    </row>
    <row r="1007" spans="1:26">
      <c r="A1007" s="125"/>
      <c r="B1007" s="2"/>
      <c r="C1007" s="75"/>
      <c r="D1007" s="137"/>
      <c r="E1007" s="52"/>
      <c r="F1007" s="133"/>
      <c r="G1007" s="133"/>
      <c r="H1007" s="133"/>
      <c r="I1007" s="133"/>
      <c r="J1007" s="133"/>
      <c r="K1007" s="133"/>
      <c r="L1007" s="133"/>
      <c r="M1007" s="133"/>
      <c r="N1007" s="133"/>
      <c r="O1007" s="133"/>
      <c r="P1007" s="133"/>
      <c r="Q1007" s="133"/>
      <c r="R1007" s="133"/>
      <c r="S1007" s="133"/>
      <c r="T1007" s="133"/>
      <c r="U1007" s="133"/>
      <c r="V1007" s="133"/>
      <c r="W1007" s="133"/>
      <c r="X1007" s="133"/>
      <c r="Y1007" s="133"/>
      <c r="Z1007" s="133"/>
    </row>
    <row r="1008" spans="1:26">
      <c r="A1008" s="125"/>
      <c r="B1008" s="2"/>
      <c r="C1008" s="75"/>
      <c r="D1008" s="137"/>
      <c r="E1008" s="52"/>
      <c r="F1008" s="133"/>
      <c r="G1008" s="133"/>
      <c r="H1008" s="133"/>
      <c r="I1008" s="133"/>
      <c r="J1008" s="133"/>
      <c r="K1008" s="133"/>
      <c r="L1008" s="133"/>
      <c r="M1008" s="133"/>
      <c r="N1008" s="133"/>
      <c r="O1008" s="133"/>
      <c r="P1008" s="133"/>
      <c r="Q1008" s="133"/>
      <c r="R1008" s="133"/>
      <c r="S1008" s="133"/>
      <c r="T1008" s="133"/>
      <c r="U1008" s="133"/>
      <c r="V1008" s="133"/>
      <c r="W1008" s="133"/>
      <c r="X1008" s="133"/>
      <c r="Y1008" s="133"/>
      <c r="Z1008" s="133"/>
    </row>
  </sheetData>
  <autoFilter ref="A1:Z673" xr:uid="{00000000-0001-0000-0200-000000000000}"/>
  <hyperlinks>
    <hyperlink ref="F367" r:id="rId1" xr:uid="{00000000-0004-0000-0200-000000000000}"/>
    <hyperlink ref="F368"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 ref="B6" r:id="rId7" xr:uid="{00000000-0004-0000-0200-000006000000}"/>
    <hyperlink ref="B7" r:id="rId8" xr:uid="{00000000-0004-0000-0200-000007000000}"/>
    <hyperlink ref="B8" r:id="rId9" xr:uid="{00000000-0004-0000-0200-000008000000}"/>
    <hyperlink ref="B9" r:id="rId10" xr:uid="{00000000-0004-0000-0200-000009000000}"/>
    <hyperlink ref="B10" r:id="rId11" xr:uid="{00000000-0004-0000-0200-00000A000000}"/>
    <hyperlink ref="B11" r:id="rId12" xr:uid="{00000000-0004-0000-0200-00000B000000}"/>
    <hyperlink ref="B13" r:id="rId13" xr:uid="{00000000-0004-0000-0200-00000C000000}"/>
    <hyperlink ref="B14" r:id="rId14" xr:uid="{00000000-0004-0000-0200-00000D000000}"/>
    <hyperlink ref="B15" r:id="rId15" xr:uid="{00000000-0004-0000-0200-00000E000000}"/>
    <hyperlink ref="B16" r:id="rId16" xr:uid="{00000000-0004-0000-0200-00000F000000}"/>
    <hyperlink ref="B17" r:id="rId17" xr:uid="{00000000-0004-0000-0200-000010000000}"/>
    <hyperlink ref="B18" r:id="rId18" xr:uid="{00000000-0004-0000-0200-000011000000}"/>
    <hyperlink ref="B19" r:id="rId19" xr:uid="{00000000-0004-0000-0200-000012000000}"/>
    <hyperlink ref="B20" r:id="rId20" xr:uid="{00000000-0004-0000-0200-000013000000}"/>
    <hyperlink ref="B21" r:id="rId21" xr:uid="{00000000-0004-0000-0200-000014000000}"/>
    <hyperlink ref="B22" r:id="rId22" xr:uid="{00000000-0004-0000-0200-000015000000}"/>
    <hyperlink ref="B23" r:id="rId23" xr:uid="{00000000-0004-0000-0200-000016000000}"/>
    <hyperlink ref="B24" r:id="rId24" xr:uid="{00000000-0004-0000-0200-000017000000}"/>
    <hyperlink ref="B25" r:id="rId25" xr:uid="{00000000-0004-0000-0200-000018000000}"/>
    <hyperlink ref="B26" r:id="rId26" xr:uid="{00000000-0004-0000-0200-000019000000}"/>
    <hyperlink ref="B27" r:id="rId27" xr:uid="{00000000-0004-0000-0200-00001A000000}"/>
    <hyperlink ref="B28" r:id="rId28" xr:uid="{00000000-0004-0000-0200-00001B000000}"/>
    <hyperlink ref="B29" r:id="rId29" xr:uid="{00000000-0004-0000-0200-00001C000000}"/>
    <hyperlink ref="B30" r:id="rId30" xr:uid="{00000000-0004-0000-0200-00001D000000}"/>
    <hyperlink ref="B31" r:id="rId31" xr:uid="{00000000-0004-0000-0200-00001E000000}"/>
    <hyperlink ref="B33"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location="!" xr:uid="{00000000-0004-0000-0200-000025000000}"/>
    <hyperlink ref="B41" r:id="rId39" xr:uid="{00000000-0004-0000-0200-000026000000}"/>
    <hyperlink ref="B42" r:id="rId40" xr:uid="{00000000-0004-0000-0200-000027000000}"/>
    <hyperlink ref="B43" r:id="rId41" xr:uid="{00000000-0004-0000-0200-000028000000}"/>
    <hyperlink ref="B45" r:id="rId42" xr:uid="{00000000-0004-0000-0200-000029000000}"/>
    <hyperlink ref="B46" r:id="rId43" xr:uid="{00000000-0004-0000-0200-00002A000000}"/>
    <hyperlink ref="B47" r:id="rId44" xr:uid="{00000000-0004-0000-0200-00002B000000}"/>
    <hyperlink ref="B48" r:id="rId45" xr:uid="{00000000-0004-0000-0200-00002C000000}"/>
    <hyperlink ref="B49" r:id="rId46" xr:uid="{00000000-0004-0000-0200-00002D000000}"/>
    <hyperlink ref="B50" r:id="rId47" xr:uid="{00000000-0004-0000-0200-00002E000000}"/>
    <hyperlink ref="B51" r:id="rId48" xr:uid="{00000000-0004-0000-0200-00002F000000}"/>
    <hyperlink ref="B52" r:id="rId49" xr:uid="{00000000-0004-0000-0200-000030000000}"/>
    <hyperlink ref="B53" r:id="rId50" xr:uid="{00000000-0004-0000-0200-000031000000}"/>
    <hyperlink ref="B54" r:id="rId51" xr:uid="{00000000-0004-0000-0200-000032000000}"/>
    <hyperlink ref="B55" r:id="rId52" xr:uid="{00000000-0004-0000-0200-000033000000}"/>
    <hyperlink ref="B56" r:id="rId53" xr:uid="{00000000-0004-0000-0200-000034000000}"/>
    <hyperlink ref="B57" r:id="rId54" xr:uid="{00000000-0004-0000-0200-000035000000}"/>
    <hyperlink ref="B59" r:id="rId55" xr:uid="{00000000-0004-0000-0200-000036000000}"/>
    <hyperlink ref="B61" r:id="rId56" xr:uid="{00000000-0004-0000-0200-000037000000}"/>
    <hyperlink ref="B62" r:id="rId57" xr:uid="{00000000-0004-0000-0200-000038000000}"/>
    <hyperlink ref="B65" r:id="rId58" xr:uid="{00000000-0004-0000-0200-000039000000}"/>
    <hyperlink ref="B66" r:id="rId59" xr:uid="{00000000-0004-0000-0200-00003A000000}"/>
    <hyperlink ref="B67" r:id="rId60" xr:uid="{00000000-0004-0000-0200-00003B000000}"/>
    <hyperlink ref="B68" r:id="rId61" xr:uid="{00000000-0004-0000-0200-00003C000000}"/>
    <hyperlink ref="B69" r:id="rId62" xr:uid="{00000000-0004-0000-0200-00003D000000}"/>
    <hyperlink ref="B70" r:id="rId63" xr:uid="{00000000-0004-0000-0200-00003E000000}"/>
    <hyperlink ref="B71" r:id="rId64" xr:uid="{00000000-0004-0000-0200-00003F000000}"/>
    <hyperlink ref="B72" r:id="rId65" xr:uid="{00000000-0004-0000-0200-000040000000}"/>
    <hyperlink ref="B73" r:id="rId66" xr:uid="{00000000-0004-0000-0200-000041000000}"/>
    <hyperlink ref="B74" r:id="rId67" xr:uid="{00000000-0004-0000-0200-000042000000}"/>
    <hyperlink ref="B75" r:id="rId68" xr:uid="{00000000-0004-0000-0200-000043000000}"/>
    <hyperlink ref="B76" r:id="rId69" xr:uid="{00000000-0004-0000-0200-000044000000}"/>
    <hyperlink ref="B77" r:id="rId70" xr:uid="{00000000-0004-0000-0200-000045000000}"/>
    <hyperlink ref="B78" r:id="rId71" xr:uid="{00000000-0004-0000-0200-000046000000}"/>
    <hyperlink ref="B79" r:id="rId72" xr:uid="{00000000-0004-0000-0200-000047000000}"/>
    <hyperlink ref="B80" r:id="rId73" xr:uid="{00000000-0004-0000-0200-000048000000}"/>
    <hyperlink ref="B81" r:id="rId74" xr:uid="{00000000-0004-0000-0200-000049000000}"/>
    <hyperlink ref="B82" r:id="rId75" xr:uid="{00000000-0004-0000-0200-00004A000000}"/>
    <hyperlink ref="B83" r:id="rId76" xr:uid="{00000000-0004-0000-0200-00004B000000}"/>
    <hyperlink ref="B84" r:id="rId77" xr:uid="{00000000-0004-0000-0200-00004C000000}"/>
    <hyperlink ref="B85" r:id="rId78" xr:uid="{00000000-0004-0000-0200-00004D000000}"/>
    <hyperlink ref="B86" r:id="rId79" xr:uid="{00000000-0004-0000-0200-00004E000000}"/>
    <hyperlink ref="B87" r:id="rId80" xr:uid="{00000000-0004-0000-0200-00004F000000}"/>
    <hyperlink ref="B88" r:id="rId81" xr:uid="{00000000-0004-0000-0200-000050000000}"/>
    <hyperlink ref="B89" r:id="rId82" xr:uid="{00000000-0004-0000-0200-000051000000}"/>
    <hyperlink ref="B90" r:id="rId83" xr:uid="{00000000-0004-0000-0200-000052000000}"/>
    <hyperlink ref="B91" r:id="rId84" xr:uid="{00000000-0004-0000-0200-000053000000}"/>
    <hyperlink ref="B92" r:id="rId85" xr:uid="{00000000-0004-0000-0200-000054000000}"/>
    <hyperlink ref="B94" r:id="rId86" xr:uid="{00000000-0004-0000-0200-000055000000}"/>
    <hyperlink ref="B95" r:id="rId87" xr:uid="{00000000-0004-0000-0200-000056000000}"/>
    <hyperlink ref="B96" r:id="rId88" xr:uid="{00000000-0004-0000-0200-000057000000}"/>
    <hyperlink ref="B97" r:id="rId89" xr:uid="{00000000-0004-0000-0200-000058000000}"/>
    <hyperlink ref="B98" r:id="rId90" xr:uid="{00000000-0004-0000-0200-000059000000}"/>
    <hyperlink ref="B99" r:id="rId91" xr:uid="{00000000-0004-0000-0200-00005A000000}"/>
    <hyperlink ref="B100" r:id="rId92" xr:uid="{00000000-0004-0000-0200-00005B000000}"/>
    <hyperlink ref="B101" r:id="rId93" xr:uid="{00000000-0004-0000-0200-00005C000000}"/>
    <hyperlink ref="B102" r:id="rId94" xr:uid="{00000000-0004-0000-0200-00005D000000}"/>
    <hyperlink ref="B103" r:id="rId95" xr:uid="{00000000-0004-0000-0200-00005E000000}"/>
    <hyperlink ref="B104" r:id="rId96" xr:uid="{00000000-0004-0000-0200-00005F000000}"/>
    <hyperlink ref="B105" r:id="rId97" xr:uid="{00000000-0004-0000-0200-000060000000}"/>
    <hyperlink ref="B106" r:id="rId98" xr:uid="{00000000-0004-0000-0200-000061000000}"/>
    <hyperlink ref="B107" r:id="rId99" xr:uid="{00000000-0004-0000-0200-000062000000}"/>
    <hyperlink ref="B108" r:id="rId100" xr:uid="{00000000-0004-0000-0200-000063000000}"/>
    <hyperlink ref="B109" r:id="rId101" xr:uid="{00000000-0004-0000-0200-000064000000}"/>
    <hyperlink ref="B110" r:id="rId102" xr:uid="{00000000-0004-0000-0200-000065000000}"/>
    <hyperlink ref="B111" r:id="rId103" xr:uid="{00000000-0004-0000-0200-000066000000}"/>
    <hyperlink ref="B114" r:id="rId104" xr:uid="{00000000-0004-0000-0200-000067000000}"/>
    <hyperlink ref="B115" r:id="rId105" xr:uid="{00000000-0004-0000-0200-000068000000}"/>
    <hyperlink ref="B117" r:id="rId106" xr:uid="{00000000-0004-0000-0200-000069000000}"/>
    <hyperlink ref="B118" r:id="rId107" xr:uid="{00000000-0004-0000-0200-00006A000000}"/>
    <hyperlink ref="B119" r:id="rId108" xr:uid="{00000000-0004-0000-0200-00006B000000}"/>
    <hyperlink ref="B120" r:id="rId109" xr:uid="{00000000-0004-0000-0200-00006C000000}"/>
    <hyperlink ref="B121" r:id="rId110" xr:uid="{00000000-0004-0000-0200-00006D000000}"/>
    <hyperlink ref="B122" r:id="rId111" xr:uid="{00000000-0004-0000-0200-00006E000000}"/>
    <hyperlink ref="B123" r:id="rId112" xr:uid="{00000000-0004-0000-0200-00006F000000}"/>
    <hyperlink ref="B124" r:id="rId113" xr:uid="{00000000-0004-0000-0200-000070000000}"/>
    <hyperlink ref="B125" r:id="rId114" xr:uid="{00000000-0004-0000-0200-000071000000}"/>
    <hyperlink ref="B126" r:id="rId115" xr:uid="{00000000-0004-0000-0200-000072000000}"/>
    <hyperlink ref="B127" r:id="rId116" xr:uid="{00000000-0004-0000-0200-000073000000}"/>
    <hyperlink ref="B128" r:id="rId117" xr:uid="{00000000-0004-0000-0200-000074000000}"/>
    <hyperlink ref="B130" r:id="rId118" xr:uid="{00000000-0004-0000-0200-000075000000}"/>
    <hyperlink ref="B131" r:id="rId119" xr:uid="{00000000-0004-0000-0200-000076000000}"/>
    <hyperlink ref="B132" r:id="rId120" xr:uid="{00000000-0004-0000-0200-000077000000}"/>
    <hyperlink ref="B133" r:id="rId121" xr:uid="{00000000-0004-0000-0200-000078000000}"/>
    <hyperlink ref="B134" r:id="rId122" xr:uid="{00000000-0004-0000-0200-000079000000}"/>
    <hyperlink ref="B135" r:id="rId123" xr:uid="{00000000-0004-0000-0200-00007A000000}"/>
    <hyperlink ref="B136" r:id="rId124" xr:uid="{00000000-0004-0000-0200-00007B000000}"/>
    <hyperlink ref="B137" r:id="rId125" xr:uid="{00000000-0004-0000-0200-00007C000000}"/>
    <hyperlink ref="B138" r:id="rId126" xr:uid="{00000000-0004-0000-0200-00007D000000}"/>
    <hyperlink ref="B139" r:id="rId127" xr:uid="{00000000-0004-0000-0200-00007E000000}"/>
    <hyperlink ref="B140" r:id="rId128" xr:uid="{00000000-0004-0000-0200-00007F000000}"/>
    <hyperlink ref="B141" r:id="rId129" xr:uid="{00000000-0004-0000-0200-000080000000}"/>
    <hyperlink ref="B142" r:id="rId130" xr:uid="{00000000-0004-0000-0200-000081000000}"/>
    <hyperlink ref="B143" r:id="rId131" xr:uid="{00000000-0004-0000-0200-000082000000}"/>
    <hyperlink ref="B144" r:id="rId132" xr:uid="{00000000-0004-0000-0200-000083000000}"/>
    <hyperlink ref="B146" r:id="rId133" xr:uid="{00000000-0004-0000-0200-000084000000}"/>
    <hyperlink ref="B147" r:id="rId134" xr:uid="{00000000-0004-0000-0200-000085000000}"/>
    <hyperlink ref="B148" r:id="rId135" xr:uid="{00000000-0004-0000-0200-000086000000}"/>
    <hyperlink ref="B149" r:id="rId136" xr:uid="{00000000-0004-0000-0200-000087000000}"/>
    <hyperlink ref="B150" r:id="rId137" xr:uid="{00000000-0004-0000-0200-000088000000}"/>
    <hyperlink ref="B151" r:id="rId138" xr:uid="{00000000-0004-0000-0200-000089000000}"/>
    <hyperlink ref="B152" r:id="rId139" xr:uid="{00000000-0004-0000-0200-00008A000000}"/>
    <hyperlink ref="B153" r:id="rId140" xr:uid="{00000000-0004-0000-0200-00008B000000}"/>
    <hyperlink ref="B154" r:id="rId141" xr:uid="{00000000-0004-0000-0200-00008C000000}"/>
    <hyperlink ref="B155" r:id="rId142" xr:uid="{00000000-0004-0000-0200-00008D000000}"/>
    <hyperlink ref="B156" r:id="rId143" xr:uid="{00000000-0004-0000-0200-00008E000000}"/>
    <hyperlink ref="B157" r:id="rId144" xr:uid="{00000000-0004-0000-0200-00008F000000}"/>
    <hyperlink ref="B158" r:id="rId145" xr:uid="{00000000-0004-0000-0200-000090000000}"/>
    <hyperlink ref="B159" r:id="rId146" xr:uid="{00000000-0004-0000-0200-000091000000}"/>
    <hyperlink ref="B160" r:id="rId147" xr:uid="{00000000-0004-0000-0200-000092000000}"/>
    <hyperlink ref="B161" r:id="rId148" xr:uid="{00000000-0004-0000-0200-000093000000}"/>
    <hyperlink ref="B162" r:id="rId149" xr:uid="{00000000-0004-0000-0200-000094000000}"/>
    <hyperlink ref="B163" r:id="rId150" xr:uid="{00000000-0004-0000-0200-000095000000}"/>
    <hyperlink ref="B164" r:id="rId151" xr:uid="{00000000-0004-0000-0200-000096000000}"/>
    <hyperlink ref="B165" r:id="rId152" xr:uid="{00000000-0004-0000-0200-000097000000}"/>
    <hyperlink ref="B166" r:id="rId153" xr:uid="{00000000-0004-0000-0200-000098000000}"/>
    <hyperlink ref="B167" r:id="rId154" xr:uid="{00000000-0004-0000-0200-000099000000}"/>
    <hyperlink ref="B168" r:id="rId155" xr:uid="{00000000-0004-0000-0200-00009A000000}"/>
    <hyperlink ref="B169" r:id="rId156" xr:uid="{00000000-0004-0000-0200-00009B000000}"/>
    <hyperlink ref="B170" r:id="rId157" xr:uid="{00000000-0004-0000-0200-00009C000000}"/>
    <hyperlink ref="B171" r:id="rId158" xr:uid="{00000000-0004-0000-0200-00009D000000}"/>
    <hyperlink ref="B172" r:id="rId159" xr:uid="{00000000-0004-0000-0200-00009E000000}"/>
    <hyperlink ref="B173" r:id="rId160" xr:uid="{00000000-0004-0000-0200-00009F000000}"/>
    <hyperlink ref="B174" r:id="rId161" xr:uid="{00000000-0004-0000-0200-0000A0000000}"/>
    <hyperlink ref="B175" r:id="rId162" xr:uid="{00000000-0004-0000-0200-0000A1000000}"/>
    <hyperlink ref="B176" r:id="rId163" xr:uid="{00000000-0004-0000-0200-0000A2000000}"/>
    <hyperlink ref="B177" r:id="rId164" xr:uid="{00000000-0004-0000-0200-0000A3000000}"/>
    <hyperlink ref="B178" r:id="rId165" xr:uid="{00000000-0004-0000-0200-0000A4000000}"/>
    <hyperlink ref="B179" r:id="rId166" xr:uid="{00000000-0004-0000-0200-0000A5000000}"/>
    <hyperlink ref="B180" r:id="rId167" xr:uid="{00000000-0004-0000-0200-0000A6000000}"/>
    <hyperlink ref="B181" r:id="rId168" xr:uid="{00000000-0004-0000-0200-0000A7000000}"/>
    <hyperlink ref="B182" r:id="rId169" xr:uid="{00000000-0004-0000-0200-0000A8000000}"/>
    <hyperlink ref="B183" r:id="rId170" xr:uid="{00000000-0004-0000-0200-0000A9000000}"/>
    <hyperlink ref="B184" r:id="rId171" xr:uid="{00000000-0004-0000-0200-0000AA000000}"/>
    <hyperlink ref="B185" r:id="rId172" xr:uid="{00000000-0004-0000-0200-0000AB000000}"/>
    <hyperlink ref="B186" r:id="rId173" xr:uid="{00000000-0004-0000-0200-0000AC000000}"/>
    <hyperlink ref="B187" r:id="rId174" xr:uid="{00000000-0004-0000-0200-0000AD000000}"/>
    <hyperlink ref="B188" r:id="rId175" xr:uid="{00000000-0004-0000-0200-0000AE000000}"/>
    <hyperlink ref="B189" r:id="rId176" xr:uid="{00000000-0004-0000-0200-0000AF000000}"/>
    <hyperlink ref="B190" r:id="rId177" xr:uid="{00000000-0004-0000-0200-0000B0000000}"/>
    <hyperlink ref="B191" r:id="rId178" xr:uid="{00000000-0004-0000-0200-0000B1000000}"/>
    <hyperlink ref="B192" r:id="rId179" xr:uid="{00000000-0004-0000-0200-0000B2000000}"/>
    <hyperlink ref="B194" r:id="rId180" xr:uid="{00000000-0004-0000-0200-0000B3000000}"/>
    <hyperlink ref="B195" r:id="rId181" xr:uid="{00000000-0004-0000-0200-0000B4000000}"/>
    <hyperlink ref="B196" r:id="rId182" xr:uid="{00000000-0004-0000-0200-0000B5000000}"/>
    <hyperlink ref="B197" r:id="rId183" xr:uid="{00000000-0004-0000-0200-0000B6000000}"/>
    <hyperlink ref="B199" r:id="rId184" xr:uid="{00000000-0004-0000-0200-0000B7000000}"/>
    <hyperlink ref="B200" r:id="rId185" xr:uid="{00000000-0004-0000-0200-0000B8000000}"/>
    <hyperlink ref="B201" r:id="rId186" xr:uid="{00000000-0004-0000-0200-0000B9000000}"/>
    <hyperlink ref="B202" r:id="rId187" xr:uid="{00000000-0004-0000-0200-0000BA000000}"/>
    <hyperlink ref="B203" r:id="rId188" xr:uid="{00000000-0004-0000-0200-0000BB000000}"/>
    <hyperlink ref="B204" r:id="rId189" xr:uid="{00000000-0004-0000-0200-0000BC000000}"/>
    <hyperlink ref="B205" r:id="rId190" xr:uid="{00000000-0004-0000-0200-0000BD000000}"/>
    <hyperlink ref="B206" r:id="rId191" xr:uid="{00000000-0004-0000-0200-0000BE000000}"/>
    <hyperlink ref="B207" r:id="rId192" xr:uid="{00000000-0004-0000-0200-0000BF000000}"/>
    <hyperlink ref="B208" r:id="rId193" xr:uid="{00000000-0004-0000-0200-0000C0000000}"/>
    <hyperlink ref="B209" r:id="rId194" xr:uid="{00000000-0004-0000-0200-0000C1000000}"/>
    <hyperlink ref="B210" r:id="rId195" xr:uid="{00000000-0004-0000-0200-0000C2000000}"/>
    <hyperlink ref="B211" r:id="rId196" xr:uid="{00000000-0004-0000-0200-0000C3000000}"/>
    <hyperlink ref="B212" r:id="rId197" xr:uid="{00000000-0004-0000-0200-0000C4000000}"/>
    <hyperlink ref="B213" r:id="rId198" xr:uid="{00000000-0004-0000-0200-0000C5000000}"/>
    <hyperlink ref="B214" r:id="rId199" xr:uid="{00000000-0004-0000-0200-0000C6000000}"/>
    <hyperlink ref="B215" r:id="rId200" xr:uid="{00000000-0004-0000-0200-0000C7000000}"/>
    <hyperlink ref="B216" r:id="rId201" xr:uid="{00000000-0004-0000-0200-0000C8000000}"/>
    <hyperlink ref="B217" r:id="rId202" xr:uid="{00000000-0004-0000-0200-0000C9000000}"/>
    <hyperlink ref="B218" r:id="rId203" xr:uid="{00000000-0004-0000-0200-0000CA000000}"/>
    <hyperlink ref="B220" r:id="rId204" xr:uid="{00000000-0004-0000-0200-0000CB000000}"/>
    <hyperlink ref="B221" r:id="rId205" xr:uid="{00000000-0004-0000-0200-0000CC000000}"/>
    <hyperlink ref="B222" r:id="rId206" xr:uid="{00000000-0004-0000-0200-0000CD000000}"/>
    <hyperlink ref="B223" r:id="rId207" xr:uid="{00000000-0004-0000-0200-0000CE000000}"/>
    <hyperlink ref="B224" r:id="rId208" xr:uid="{00000000-0004-0000-0200-0000CF000000}"/>
    <hyperlink ref="B225" r:id="rId209" xr:uid="{00000000-0004-0000-0200-0000D0000000}"/>
    <hyperlink ref="B226" r:id="rId210" xr:uid="{00000000-0004-0000-0200-0000D1000000}"/>
    <hyperlink ref="B227" r:id="rId211" xr:uid="{00000000-0004-0000-0200-0000D2000000}"/>
    <hyperlink ref="B228" r:id="rId212" xr:uid="{00000000-0004-0000-0200-0000D3000000}"/>
    <hyperlink ref="B229" r:id="rId213" xr:uid="{00000000-0004-0000-0200-0000D4000000}"/>
    <hyperlink ref="B230" r:id="rId214" xr:uid="{00000000-0004-0000-0200-0000D5000000}"/>
    <hyperlink ref="B231" r:id="rId215" xr:uid="{00000000-0004-0000-0200-0000D6000000}"/>
    <hyperlink ref="B232" r:id="rId216" xr:uid="{00000000-0004-0000-0200-0000D7000000}"/>
    <hyperlink ref="B233" r:id="rId217" xr:uid="{00000000-0004-0000-0200-0000D8000000}"/>
    <hyperlink ref="B234" r:id="rId218" xr:uid="{00000000-0004-0000-0200-0000D9000000}"/>
    <hyperlink ref="B238" r:id="rId219" xr:uid="{00000000-0004-0000-0200-0000DA000000}"/>
    <hyperlink ref="B239" r:id="rId220" xr:uid="{00000000-0004-0000-0200-0000DB000000}"/>
    <hyperlink ref="B240" r:id="rId221" xr:uid="{00000000-0004-0000-0200-0000DC000000}"/>
    <hyperlink ref="B241" r:id="rId222" xr:uid="{00000000-0004-0000-0200-0000DD000000}"/>
    <hyperlink ref="B242" r:id="rId223" xr:uid="{00000000-0004-0000-0200-0000DE000000}"/>
    <hyperlink ref="B243" r:id="rId224" xr:uid="{00000000-0004-0000-0200-0000DF000000}"/>
    <hyperlink ref="B244" r:id="rId225" xr:uid="{00000000-0004-0000-0200-0000E0000000}"/>
    <hyperlink ref="B245" r:id="rId226" xr:uid="{00000000-0004-0000-0200-0000E1000000}"/>
    <hyperlink ref="B246" r:id="rId227" xr:uid="{00000000-0004-0000-0200-0000E2000000}"/>
    <hyperlink ref="B247" r:id="rId228" xr:uid="{00000000-0004-0000-0200-0000E3000000}"/>
    <hyperlink ref="B248" r:id="rId229" xr:uid="{00000000-0004-0000-0200-0000E4000000}"/>
    <hyperlink ref="B249" r:id="rId230" xr:uid="{00000000-0004-0000-0200-0000E5000000}"/>
    <hyperlink ref="B250" r:id="rId231" xr:uid="{00000000-0004-0000-0200-0000E6000000}"/>
    <hyperlink ref="B251" r:id="rId232" xr:uid="{00000000-0004-0000-0200-0000E7000000}"/>
    <hyperlink ref="B252" r:id="rId233" xr:uid="{00000000-0004-0000-0200-0000E8000000}"/>
    <hyperlink ref="B253" r:id="rId234" xr:uid="{00000000-0004-0000-0200-0000E9000000}"/>
    <hyperlink ref="B254" r:id="rId235" xr:uid="{00000000-0004-0000-0200-0000EA000000}"/>
    <hyperlink ref="B255" r:id="rId236" xr:uid="{00000000-0004-0000-0200-0000EB000000}"/>
    <hyperlink ref="B256" r:id="rId237" xr:uid="{00000000-0004-0000-0200-0000EC000000}"/>
    <hyperlink ref="D256" r:id="rId238" xr:uid="{00000000-0004-0000-0200-0000ED000000}"/>
    <hyperlink ref="B257" r:id="rId239" xr:uid="{00000000-0004-0000-0200-0000EE000000}"/>
    <hyperlink ref="B258" r:id="rId240" xr:uid="{00000000-0004-0000-0200-0000EF000000}"/>
    <hyperlink ref="D258" r:id="rId241" xr:uid="{00000000-0004-0000-0200-0000F0000000}"/>
    <hyperlink ref="B259" r:id="rId242" xr:uid="{00000000-0004-0000-0200-0000F1000000}"/>
    <hyperlink ref="B260" r:id="rId243" xr:uid="{00000000-0004-0000-0200-0000F2000000}"/>
    <hyperlink ref="B261" r:id="rId244" xr:uid="{00000000-0004-0000-0200-0000F3000000}"/>
    <hyperlink ref="B262" r:id="rId245" xr:uid="{00000000-0004-0000-0200-0000F4000000}"/>
    <hyperlink ref="B265" r:id="rId246" xr:uid="{00000000-0004-0000-0200-0000F5000000}"/>
    <hyperlink ref="B266" r:id="rId247" xr:uid="{00000000-0004-0000-0200-0000F6000000}"/>
    <hyperlink ref="B267" r:id="rId248" xr:uid="{00000000-0004-0000-0200-0000F7000000}"/>
    <hyperlink ref="B268" r:id="rId249" xr:uid="{00000000-0004-0000-0200-0000F8000000}"/>
    <hyperlink ref="B269" r:id="rId250" xr:uid="{00000000-0004-0000-0200-0000F9000000}"/>
    <hyperlink ref="B270" r:id="rId251" xr:uid="{00000000-0004-0000-0200-0000FA000000}"/>
    <hyperlink ref="B271" r:id="rId252" xr:uid="{00000000-0004-0000-0200-0000FB000000}"/>
    <hyperlink ref="B272" r:id="rId253" xr:uid="{00000000-0004-0000-0200-0000FC000000}"/>
    <hyperlink ref="B273" r:id="rId254" xr:uid="{00000000-0004-0000-0200-0000FD000000}"/>
    <hyperlink ref="B274" r:id="rId255" xr:uid="{00000000-0004-0000-0200-0000FE000000}"/>
    <hyperlink ref="B275" r:id="rId256" xr:uid="{00000000-0004-0000-0200-0000FF000000}"/>
    <hyperlink ref="D275" r:id="rId257" xr:uid="{00000000-0004-0000-0200-000000010000}"/>
    <hyperlink ref="B276" r:id="rId258" xr:uid="{00000000-0004-0000-0200-000001010000}"/>
    <hyperlink ref="D276" r:id="rId259" xr:uid="{00000000-0004-0000-0200-000002010000}"/>
    <hyperlink ref="B277" r:id="rId260" xr:uid="{00000000-0004-0000-0200-000003010000}"/>
    <hyperlink ref="D277" r:id="rId261" xr:uid="{00000000-0004-0000-0200-000004010000}"/>
    <hyperlink ref="B278" r:id="rId262" xr:uid="{00000000-0004-0000-0200-000005010000}"/>
    <hyperlink ref="B279" r:id="rId263" xr:uid="{00000000-0004-0000-0200-000006010000}"/>
    <hyperlink ref="B280" r:id="rId264" xr:uid="{00000000-0004-0000-0200-000007010000}"/>
    <hyperlink ref="D280" r:id="rId265" xr:uid="{00000000-0004-0000-0200-000008010000}"/>
    <hyperlink ref="B281" r:id="rId266" xr:uid="{00000000-0004-0000-0200-000009010000}"/>
    <hyperlink ref="D281" r:id="rId267" xr:uid="{00000000-0004-0000-0200-00000A010000}"/>
    <hyperlink ref="B282" r:id="rId268" xr:uid="{00000000-0004-0000-0200-00000B010000}"/>
    <hyperlink ref="D282" r:id="rId269" xr:uid="{00000000-0004-0000-0200-00000C010000}"/>
    <hyperlink ref="B283" r:id="rId270" xr:uid="{00000000-0004-0000-0200-00000D010000}"/>
    <hyperlink ref="D283" r:id="rId271" xr:uid="{00000000-0004-0000-0200-00000E010000}"/>
    <hyperlink ref="B284" r:id="rId272" xr:uid="{00000000-0004-0000-0200-00000F010000}"/>
    <hyperlink ref="D284" r:id="rId273" xr:uid="{00000000-0004-0000-0200-000010010000}"/>
    <hyperlink ref="B285" r:id="rId274" xr:uid="{00000000-0004-0000-0200-000011010000}"/>
    <hyperlink ref="D285" r:id="rId275" xr:uid="{00000000-0004-0000-0200-000012010000}"/>
    <hyperlink ref="B286" r:id="rId276" xr:uid="{00000000-0004-0000-0200-000013010000}"/>
    <hyperlink ref="D286" r:id="rId277" xr:uid="{00000000-0004-0000-0200-000014010000}"/>
    <hyperlink ref="B287" r:id="rId278" xr:uid="{00000000-0004-0000-0200-000015010000}"/>
    <hyperlink ref="D287" r:id="rId279" xr:uid="{00000000-0004-0000-0200-000016010000}"/>
    <hyperlink ref="B288" r:id="rId280" xr:uid="{00000000-0004-0000-0200-000017010000}"/>
    <hyperlink ref="D288" r:id="rId281" xr:uid="{00000000-0004-0000-0200-000018010000}"/>
    <hyperlink ref="B289" r:id="rId282" xr:uid="{00000000-0004-0000-0200-000019010000}"/>
    <hyperlink ref="D289" r:id="rId283" xr:uid="{00000000-0004-0000-0200-00001A010000}"/>
    <hyperlink ref="B290" r:id="rId284" xr:uid="{00000000-0004-0000-0200-00001B010000}"/>
    <hyperlink ref="D290" r:id="rId285" xr:uid="{00000000-0004-0000-0200-00001C010000}"/>
    <hyperlink ref="B291" r:id="rId286" xr:uid="{00000000-0004-0000-0200-00001D010000}"/>
    <hyperlink ref="D291" r:id="rId287" xr:uid="{00000000-0004-0000-0200-00001E010000}"/>
    <hyperlink ref="B292" r:id="rId288" xr:uid="{00000000-0004-0000-0200-00001F010000}"/>
    <hyperlink ref="D292" r:id="rId289" xr:uid="{00000000-0004-0000-0200-000020010000}"/>
    <hyperlink ref="B293" r:id="rId290" xr:uid="{00000000-0004-0000-0200-000021010000}"/>
    <hyperlink ref="D293" r:id="rId291" xr:uid="{00000000-0004-0000-0200-000022010000}"/>
    <hyperlink ref="B294" r:id="rId292" xr:uid="{00000000-0004-0000-0200-000023010000}"/>
    <hyperlink ref="D294" r:id="rId293" xr:uid="{00000000-0004-0000-0200-000024010000}"/>
    <hyperlink ref="B295" r:id="rId294" xr:uid="{00000000-0004-0000-0200-000025010000}"/>
    <hyperlink ref="D295" r:id="rId295" xr:uid="{00000000-0004-0000-0200-000026010000}"/>
    <hyperlink ref="B296" r:id="rId296" xr:uid="{00000000-0004-0000-0200-000027010000}"/>
    <hyperlink ref="D296" r:id="rId297" xr:uid="{00000000-0004-0000-0200-000028010000}"/>
    <hyperlink ref="B297" r:id="rId298" xr:uid="{00000000-0004-0000-0200-000029010000}"/>
    <hyperlink ref="D297" r:id="rId299" xr:uid="{00000000-0004-0000-0200-00002A010000}"/>
    <hyperlink ref="B298" r:id="rId300" xr:uid="{00000000-0004-0000-0200-00002B010000}"/>
    <hyperlink ref="D298" r:id="rId301" xr:uid="{00000000-0004-0000-0200-00002C010000}"/>
    <hyperlink ref="B299" r:id="rId302" xr:uid="{00000000-0004-0000-0200-00002D010000}"/>
    <hyperlink ref="D299" r:id="rId303" xr:uid="{00000000-0004-0000-0200-00002E010000}"/>
    <hyperlink ref="B300" r:id="rId304" xr:uid="{00000000-0004-0000-0200-00002F010000}"/>
    <hyperlink ref="D300" r:id="rId305" xr:uid="{00000000-0004-0000-0200-000030010000}"/>
    <hyperlink ref="B301" r:id="rId306" xr:uid="{00000000-0004-0000-0200-000031010000}"/>
    <hyperlink ref="D301" r:id="rId307" xr:uid="{00000000-0004-0000-0200-000032010000}"/>
    <hyperlink ref="B302" r:id="rId308" xr:uid="{00000000-0004-0000-0200-000033010000}"/>
    <hyperlink ref="D302" r:id="rId309" xr:uid="{00000000-0004-0000-0200-000034010000}"/>
    <hyperlink ref="B303" r:id="rId310" xr:uid="{00000000-0004-0000-0200-000035010000}"/>
    <hyperlink ref="D303" r:id="rId311" xr:uid="{00000000-0004-0000-0200-000036010000}"/>
    <hyperlink ref="B304" r:id="rId312" xr:uid="{00000000-0004-0000-0200-000037010000}"/>
    <hyperlink ref="D304" r:id="rId313" xr:uid="{00000000-0004-0000-0200-000038010000}"/>
    <hyperlink ref="B305" r:id="rId314" xr:uid="{00000000-0004-0000-0200-000039010000}"/>
    <hyperlink ref="D305" r:id="rId315" xr:uid="{00000000-0004-0000-0200-00003A010000}"/>
    <hyperlink ref="B306" r:id="rId316" xr:uid="{00000000-0004-0000-0200-00003B010000}"/>
    <hyperlink ref="D306" r:id="rId317" xr:uid="{00000000-0004-0000-0200-00003C010000}"/>
    <hyperlink ref="B307" location="Blog!B307" display="The power of unified digital agricultural services" xr:uid="{00000000-0004-0000-0200-00003D010000}"/>
    <hyperlink ref="D307" r:id="rId318" xr:uid="{00000000-0004-0000-0200-00003E010000}"/>
    <hyperlink ref="B308" r:id="rId319" xr:uid="{00000000-0004-0000-0200-00003F010000}"/>
    <hyperlink ref="D308" r:id="rId320" xr:uid="{00000000-0004-0000-0200-000040010000}"/>
    <hyperlink ref="B309" r:id="rId321" xr:uid="{00000000-0004-0000-0200-000041010000}"/>
    <hyperlink ref="D309" r:id="rId322" xr:uid="{00000000-0004-0000-0200-000042010000}"/>
    <hyperlink ref="B310" r:id="rId323" xr:uid="{00000000-0004-0000-0200-000043010000}"/>
    <hyperlink ref="D310" r:id="rId324" xr:uid="{00000000-0004-0000-0200-000044010000}"/>
    <hyperlink ref="B311" r:id="rId325" xr:uid="{00000000-0004-0000-0200-000045010000}"/>
    <hyperlink ref="D311" r:id="rId326" xr:uid="{00000000-0004-0000-0200-000046010000}"/>
    <hyperlink ref="B312" r:id="rId327" xr:uid="{00000000-0004-0000-0200-000047010000}"/>
    <hyperlink ref="D312" r:id="rId328" xr:uid="{00000000-0004-0000-0200-000048010000}"/>
    <hyperlink ref="B313" r:id="rId329" xr:uid="{00000000-0004-0000-0200-000049010000}"/>
    <hyperlink ref="D313" r:id="rId330" xr:uid="{00000000-0004-0000-0200-00004A010000}"/>
    <hyperlink ref="B314" r:id="rId331" xr:uid="{00000000-0004-0000-0200-00004B010000}"/>
    <hyperlink ref="B315" r:id="rId332" xr:uid="{00000000-0004-0000-0200-00004C010000}"/>
    <hyperlink ref="B316" r:id="rId333" xr:uid="{00000000-0004-0000-0200-00004D010000}"/>
    <hyperlink ref="B317" r:id="rId334" xr:uid="{00000000-0004-0000-0200-00004E010000}"/>
    <hyperlink ref="B318" r:id="rId335" xr:uid="{00000000-0004-0000-0200-00004F010000}"/>
    <hyperlink ref="B319" r:id="rId336" xr:uid="{00000000-0004-0000-0200-000050010000}"/>
    <hyperlink ref="B320" r:id="rId337" xr:uid="{00000000-0004-0000-0200-000051010000}"/>
    <hyperlink ref="B321" r:id="rId338" xr:uid="{00000000-0004-0000-0200-000052010000}"/>
    <hyperlink ref="B322" r:id="rId339" xr:uid="{00000000-0004-0000-0200-000053010000}"/>
    <hyperlink ref="D322" r:id="rId340" xr:uid="{00000000-0004-0000-0200-000054010000}"/>
    <hyperlink ref="B323" r:id="rId341" xr:uid="{00000000-0004-0000-0200-000055010000}"/>
    <hyperlink ref="D323" r:id="rId342" xr:uid="{00000000-0004-0000-0200-000056010000}"/>
    <hyperlink ref="B324" r:id="rId343" xr:uid="{00000000-0004-0000-0200-000057010000}"/>
    <hyperlink ref="D324" r:id="rId344" xr:uid="{00000000-0004-0000-0200-000058010000}"/>
    <hyperlink ref="B325" r:id="rId345" xr:uid="{00000000-0004-0000-0200-000059010000}"/>
    <hyperlink ref="D325" r:id="rId346" xr:uid="{00000000-0004-0000-0200-00005A010000}"/>
    <hyperlink ref="B326" r:id="rId347" xr:uid="{00000000-0004-0000-0200-00005B010000}"/>
    <hyperlink ref="D326" r:id="rId348" xr:uid="{00000000-0004-0000-0200-00005C010000}"/>
    <hyperlink ref="B327" r:id="rId349" xr:uid="{00000000-0004-0000-0200-00005D010000}"/>
    <hyperlink ref="D327" r:id="rId350" xr:uid="{00000000-0004-0000-0200-00005E010000}"/>
    <hyperlink ref="B328" r:id="rId351" xr:uid="{00000000-0004-0000-0200-00005F010000}"/>
    <hyperlink ref="D328" r:id="rId352" xr:uid="{00000000-0004-0000-0200-000060010000}"/>
    <hyperlink ref="B329" r:id="rId353" xr:uid="{00000000-0004-0000-0200-000061010000}"/>
    <hyperlink ref="D329" r:id="rId354" xr:uid="{00000000-0004-0000-0200-000062010000}"/>
    <hyperlink ref="B330" r:id="rId355" xr:uid="{00000000-0004-0000-0200-000063010000}"/>
    <hyperlink ref="D330" r:id="rId356" xr:uid="{00000000-0004-0000-0200-000064010000}"/>
    <hyperlink ref="B331" r:id="rId357" xr:uid="{00000000-0004-0000-0200-000065010000}"/>
    <hyperlink ref="D331" r:id="rId358" xr:uid="{00000000-0004-0000-0200-000066010000}"/>
    <hyperlink ref="B332" r:id="rId359" xr:uid="{00000000-0004-0000-0200-000067010000}"/>
    <hyperlink ref="D332" r:id="rId360" xr:uid="{00000000-0004-0000-0200-000068010000}"/>
    <hyperlink ref="B333" r:id="rId361" xr:uid="{00000000-0004-0000-0200-000069010000}"/>
    <hyperlink ref="D333" r:id="rId362" xr:uid="{00000000-0004-0000-0200-00006A010000}"/>
    <hyperlink ref="B334" r:id="rId363" xr:uid="{00000000-0004-0000-0200-00006B010000}"/>
    <hyperlink ref="D334" r:id="rId364" xr:uid="{00000000-0004-0000-0200-00006C010000}"/>
    <hyperlink ref="B335" r:id="rId365" xr:uid="{00000000-0004-0000-0200-00006D010000}"/>
    <hyperlink ref="D335" r:id="rId366" xr:uid="{00000000-0004-0000-0200-00006E010000}"/>
    <hyperlink ref="B336" r:id="rId367" xr:uid="{00000000-0004-0000-0200-00006F010000}"/>
    <hyperlink ref="D336" r:id="rId368" xr:uid="{00000000-0004-0000-0200-000070010000}"/>
    <hyperlink ref="B337" r:id="rId369" xr:uid="{00000000-0004-0000-0200-000071010000}"/>
    <hyperlink ref="D337" r:id="rId370" xr:uid="{00000000-0004-0000-0200-000072010000}"/>
    <hyperlink ref="B338" r:id="rId371" xr:uid="{00000000-0004-0000-0200-000073010000}"/>
    <hyperlink ref="D338" r:id="rId372" xr:uid="{00000000-0004-0000-0200-000074010000}"/>
    <hyperlink ref="B339" r:id="rId373" xr:uid="{00000000-0004-0000-0200-000075010000}"/>
    <hyperlink ref="D339" r:id="rId374" xr:uid="{00000000-0004-0000-0200-000076010000}"/>
    <hyperlink ref="B340" r:id="rId375" xr:uid="{00000000-0004-0000-0200-000077010000}"/>
    <hyperlink ref="D340" r:id="rId376" xr:uid="{00000000-0004-0000-0200-000078010000}"/>
    <hyperlink ref="B341" r:id="rId377" xr:uid="{00000000-0004-0000-0200-000079010000}"/>
    <hyperlink ref="D341" r:id="rId378" xr:uid="{00000000-0004-0000-0200-00007A010000}"/>
    <hyperlink ref="B342" r:id="rId379" xr:uid="{00000000-0004-0000-0200-00007B010000}"/>
    <hyperlink ref="D342" r:id="rId380" xr:uid="{00000000-0004-0000-0200-00007C010000}"/>
    <hyperlink ref="B343" r:id="rId381" xr:uid="{00000000-0004-0000-0200-00007D010000}"/>
    <hyperlink ref="D343" r:id="rId382" xr:uid="{00000000-0004-0000-0200-00007E010000}"/>
    <hyperlink ref="B344" r:id="rId383" xr:uid="{00000000-0004-0000-0200-00007F010000}"/>
    <hyperlink ref="B345" r:id="rId384" xr:uid="{00000000-0004-0000-0200-000080010000}"/>
    <hyperlink ref="B348" r:id="rId385" xr:uid="{00000000-0004-0000-0200-000081010000}"/>
    <hyperlink ref="D348" r:id="rId386" xr:uid="{00000000-0004-0000-0200-000082010000}"/>
    <hyperlink ref="B349" r:id="rId387" xr:uid="{00000000-0004-0000-0200-000083010000}"/>
    <hyperlink ref="D349" r:id="rId388" xr:uid="{00000000-0004-0000-0200-000084010000}"/>
    <hyperlink ref="B350" r:id="rId389" xr:uid="{00000000-0004-0000-0200-000085010000}"/>
    <hyperlink ref="D350" r:id="rId390" xr:uid="{00000000-0004-0000-0200-000086010000}"/>
    <hyperlink ref="B351" r:id="rId391" xr:uid="{00000000-0004-0000-0200-000087010000}"/>
    <hyperlink ref="D351" r:id="rId392" xr:uid="{00000000-0004-0000-0200-000088010000}"/>
    <hyperlink ref="B353" r:id="rId393" xr:uid="{00000000-0004-0000-0200-000089010000}"/>
    <hyperlink ref="D353" r:id="rId394" xr:uid="{00000000-0004-0000-0200-00008A010000}"/>
    <hyperlink ref="B354" r:id="rId395" xr:uid="{00000000-0004-0000-0200-00008C010000}"/>
    <hyperlink ref="D354" r:id="rId396" xr:uid="{00000000-0004-0000-0200-00008D010000}"/>
    <hyperlink ref="B355" r:id="rId397" xr:uid="{00000000-0004-0000-0200-000090010000}"/>
    <hyperlink ref="D355" r:id="rId398" xr:uid="{00000000-0004-0000-0200-000091010000}"/>
    <hyperlink ref="B356" r:id="rId399" xr:uid="{00000000-0004-0000-0200-000092010000}"/>
    <hyperlink ref="D356" r:id="rId400" xr:uid="{00000000-0004-0000-0200-000093010000}"/>
    <hyperlink ref="B357" r:id="rId401" xr:uid="{00000000-0004-0000-0200-000094010000}"/>
    <hyperlink ref="D357" r:id="rId402" xr:uid="{00000000-0004-0000-0200-000095010000}"/>
    <hyperlink ref="B358" r:id="rId403" xr:uid="{00000000-0004-0000-0200-000096010000}"/>
    <hyperlink ref="D358" r:id="rId404" xr:uid="{00000000-0004-0000-0200-000097010000}"/>
    <hyperlink ref="B359" r:id="rId405" xr:uid="{00000000-0004-0000-0200-000098010000}"/>
    <hyperlink ref="D359" r:id="rId406" xr:uid="{00000000-0004-0000-0200-000099010000}"/>
    <hyperlink ref="B360" r:id="rId407" xr:uid="{00000000-0004-0000-0200-00009A010000}"/>
    <hyperlink ref="D360" r:id="rId408" xr:uid="{00000000-0004-0000-0200-00009B010000}"/>
    <hyperlink ref="B361" r:id="rId409" xr:uid="{00000000-0004-0000-0200-00009C010000}"/>
    <hyperlink ref="D361" r:id="rId410" xr:uid="{00000000-0004-0000-0200-00009D010000}"/>
    <hyperlink ref="B363" r:id="rId411" xr:uid="{00000000-0004-0000-0200-00009E010000}"/>
    <hyperlink ref="D363" r:id="rId412" xr:uid="{00000000-0004-0000-0200-00009F010000}"/>
    <hyperlink ref="B364" r:id="rId413" xr:uid="{00000000-0004-0000-0200-0000A0010000}"/>
    <hyperlink ref="D364" r:id="rId414" xr:uid="{00000000-0004-0000-0200-0000A1010000}"/>
    <hyperlink ref="B365" r:id="rId415" xr:uid="{00000000-0004-0000-0200-0000A2010000}"/>
    <hyperlink ref="D365" r:id="rId416" xr:uid="{00000000-0004-0000-0200-0000A3010000}"/>
    <hyperlink ref="B366" r:id="rId417" xr:uid="{00000000-0004-0000-0200-0000A4010000}"/>
    <hyperlink ref="D366" r:id="rId418" xr:uid="{00000000-0004-0000-0200-0000A5010000}"/>
    <hyperlink ref="B367" r:id="rId419" xr:uid="{00000000-0004-0000-0200-0000A6010000}"/>
    <hyperlink ref="D367" r:id="rId420" xr:uid="{00000000-0004-0000-0200-0000A7010000}"/>
    <hyperlink ref="B368" r:id="rId421" xr:uid="{00000000-0004-0000-0200-0000A8010000}"/>
    <hyperlink ref="D368" r:id="rId422" xr:uid="{00000000-0004-0000-0200-0000A9010000}"/>
    <hyperlink ref="B369" r:id="rId423" xr:uid="{00000000-0004-0000-0200-0000AA010000}"/>
    <hyperlink ref="D369" r:id="rId424" xr:uid="{00000000-0004-0000-0200-0000AB010000}"/>
    <hyperlink ref="B370" r:id="rId425" xr:uid="{00000000-0004-0000-0200-0000AC010000}"/>
    <hyperlink ref="D370" r:id="rId426" xr:uid="{00000000-0004-0000-0200-0000AD010000}"/>
    <hyperlink ref="B371" r:id="rId427" xr:uid="{00000000-0004-0000-0200-0000AE010000}"/>
    <hyperlink ref="D371" r:id="rId428" xr:uid="{00000000-0004-0000-0200-0000AF010000}"/>
    <hyperlink ref="B372" r:id="rId429" xr:uid="{00000000-0004-0000-0200-0000B0010000}"/>
    <hyperlink ref="D372" r:id="rId430" xr:uid="{00000000-0004-0000-0200-0000B1010000}"/>
    <hyperlink ref="B373" r:id="rId431" xr:uid="{00000000-0004-0000-0200-0000B2010000}"/>
    <hyperlink ref="D373" r:id="rId432" xr:uid="{00000000-0004-0000-0200-0000B3010000}"/>
    <hyperlink ref="B374" r:id="rId433" xr:uid="{00000000-0004-0000-0200-0000B4010000}"/>
    <hyperlink ref="D374" r:id="rId434" xr:uid="{00000000-0004-0000-0200-0000B5010000}"/>
    <hyperlink ref="B375" r:id="rId435" xr:uid="{00000000-0004-0000-0200-0000B6010000}"/>
    <hyperlink ref="D375" r:id="rId436" xr:uid="{00000000-0004-0000-0200-0000B7010000}"/>
    <hyperlink ref="B376" r:id="rId437" xr:uid="{00000000-0004-0000-0200-0000B8010000}"/>
    <hyperlink ref="D376" r:id="rId438" xr:uid="{00000000-0004-0000-0200-0000B9010000}"/>
    <hyperlink ref="B377" r:id="rId439" xr:uid="{00000000-0004-0000-0200-0000BA010000}"/>
    <hyperlink ref="D377" r:id="rId440" xr:uid="{00000000-0004-0000-0200-0000BB010000}"/>
    <hyperlink ref="B378" r:id="rId441" xr:uid="{00000000-0004-0000-0200-0000BC010000}"/>
    <hyperlink ref="D378" r:id="rId442" xr:uid="{00000000-0004-0000-0200-0000BD010000}"/>
    <hyperlink ref="B379" r:id="rId443" xr:uid="{00000000-0004-0000-0200-0000BE010000}"/>
    <hyperlink ref="D379" r:id="rId444" xr:uid="{00000000-0004-0000-0200-0000BF010000}"/>
    <hyperlink ref="B380" r:id="rId445" xr:uid="{00000000-0004-0000-0200-0000C0010000}"/>
    <hyperlink ref="D380" r:id="rId446" xr:uid="{00000000-0004-0000-0200-0000C1010000}"/>
    <hyperlink ref="B381" r:id="rId447" xr:uid="{00000000-0004-0000-0200-0000C2010000}"/>
    <hyperlink ref="D381" r:id="rId448" xr:uid="{00000000-0004-0000-0200-0000C3010000}"/>
    <hyperlink ref="B382" r:id="rId449" xr:uid="{00000000-0004-0000-0200-0000C4010000}"/>
    <hyperlink ref="D382" r:id="rId450" xr:uid="{00000000-0004-0000-0200-0000C5010000}"/>
    <hyperlink ref="B383" r:id="rId451" xr:uid="{00000000-0004-0000-0200-0000C6010000}"/>
    <hyperlink ref="D383" r:id="rId452" xr:uid="{00000000-0004-0000-0200-0000C7010000}"/>
    <hyperlink ref="B384" r:id="rId453" xr:uid="{00000000-0004-0000-0200-0000C8010000}"/>
    <hyperlink ref="D384" r:id="rId454" xr:uid="{00000000-0004-0000-0200-0000C9010000}"/>
    <hyperlink ref="B385" r:id="rId455" xr:uid="{00000000-0004-0000-0200-0000CA010000}"/>
    <hyperlink ref="D385" r:id="rId456" xr:uid="{00000000-0004-0000-0200-0000CB010000}"/>
    <hyperlink ref="B386" r:id="rId457" xr:uid="{00000000-0004-0000-0200-0000CC010000}"/>
    <hyperlink ref="D386" r:id="rId458" xr:uid="{00000000-0004-0000-0200-0000CD010000}"/>
    <hyperlink ref="B387" r:id="rId459" xr:uid="{00000000-0004-0000-0200-0000CE010000}"/>
    <hyperlink ref="D387" r:id="rId460" xr:uid="{00000000-0004-0000-0200-0000CF010000}"/>
    <hyperlink ref="B388" r:id="rId461" xr:uid="{00000000-0004-0000-0200-0000D0010000}"/>
    <hyperlink ref="D388" r:id="rId462" xr:uid="{00000000-0004-0000-0200-0000D1010000}"/>
    <hyperlink ref="B389" r:id="rId463" xr:uid="{00000000-0004-0000-0200-0000D2010000}"/>
    <hyperlink ref="D389" r:id="rId464" xr:uid="{00000000-0004-0000-0200-0000D3010000}"/>
    <hyperlink ref="B390" r:id="rId465" xr:uid="{00000000-0004-0000-0200-0000D4010000}"/>
    <hyperlink ref="D390" r:id="rId466" xr:uid="{00000000-0004-0000-0200-0000D5010000}"/>
    <hyperlink ref="B391" r:id="rId467" xr:uid="{00000000-0004-0000-0200-0000D6010000}"/>
    <hyperlink ref="D391" r:id="rId468" xr:uid="{00000000-0004-0000-0200-0000D7010000}"/>
    <hyperlink ref="B392" r:id="rId469" xr:uid="{00000000-0004-0000-0200-0000D8010000}"/>
    <hyperlink ref="D392" r:id="rId470" xr:uid="{00000000-0004-0000-0200-0000D9010000}"/>
    <hyperlink ref="B393" r:id="rId471" xr:uid="{00000000-0004-0000-0200-0000DA010000}"/>
    <hyperlink ref="D393" r:id="rId472" xr:uid="{00000000-0004-0000-0200-0000DB010000}"/>
    <hyperlink ref="B394" r:id="rId473" xr:uid="{00000000-0004-0000-0200-0000DC010000}"/>
    <hyperlink ref="D394" r:id="rId474" xr:uid="{00000000-0004-0000-0200-0000DD010000}"/>
    <hyperlink ref="B395" r:id="rId475" xr:uid="{00000000-0004-0000-0200-0000DE010000}"/>
    <hyperlink ref="D395" r:id="rId476" xr:uid="{00000000-0004-0000-0200-0000DF010000}"/>
    <hyperlink ref="B396" r:id="rId477" xr:uid="{00000000-0004-0000-0200-0000E0010000}"/>
    <hyperlink ref="D396" r:id="rId478" xr:uid="{00000000-0004-0000-0200-0000E1010000}"/>
    <hyperlink ref="B397" r:id="rId479" xr:uid="{00000000-0004-0000-0200-0000E2010000}"/>
    <hyperlink ref="D397" r:id="rId480" xr:uid="{00000000-0004-0000-0200-0000E3010000}"/>
    <hyperlink ref="B398" r:id="rId481" xr:uid="{00000000-0004-0000-0200-0000E4010000}"/>
    <hyperlink ref="D398" r:id="rId482" xr:uid="{00000000-0004-0000-0200-0000E5010000}"/>
    <hyperlink ref="B399" r:id="rId483" xr:uid="{00000000-0004-0000-0200-0000E6010000}"/>
    <hyperlink ref="D399" r:id="rId484" xr:uid="{00000000-0004-0000-0200-0000E7010000}"/>
    <hyperlink ref="B400" r:id="rId485" xr:uid="{00000000-0004-0000-0200-0000E8010000}"/>
    <hyperlink ref="D400" r:id="rId486" xr:uid="{00000000-0004-0000-0200-0000E9010000}"/>
    <hyperlink ref="B401" r:id="rId487" xr:uid="{00000000-0004-0000-0200-0000EA010000}"/>
    <hyperlink ref="D401" r:id="rId488" xr:uid="{00000000-0004-0000-0200-0000EB010000}"/>
    <hyperlink ref="B402" r:id="rId489" xr:uid="{00000000-0004-0000-0200-0000EC010000}"/>
    <hyperlink ref="D402" r:id="rId490" xr:uid="{00000000-0004-0000-0200-0000ED010000}"/>
    <hyperlink ref="B403" r:id="rId491" xr:uid="{00000000-0004-0000-0200-0000EE010000}"/>
    <hyperlink ref="D403" r:id="rId492" xr:uid="{00000000-0004-0000-0200-0000EF010000}"/>
    <hyperlink ref="B404" r:id="rId493" xr:uid="{00000000-0004-0000-0200-0000F0010000}"/>
    <hyperlink ref="D404" r:id="rId494" xr:uid="{00000000-0004-0000-0200-0000F1010000}"/>
    <hyperlink ref="B405" r:id="rId495" xr:uid="{00000000-0004-0000-0200-0000F2010000}"/>
    <hyperlink ref="D405" r:id="rId496" xr:uid="{00000000-0004-0000-0200-0000F3010000}"/>
    <hyperlink ref="B406" r:id="rId497" xr:uid="{00000000-0004-0000-0200-0000F4010000}"/>
    <hyperlink ref="D406" r:id="rId498" xr:uid="{00000000-0004-0000-0200-0000F5010000}"/>
    <hyperlink ref="B407" r:id="rId499" xr:uid="{00000000-0004-0000-0200-0000F6010000}"/>
    <hyperlink ref="D407" r:id="rId500" xr:uid="{00000000-0004-0000-0200-0000F7010000}"/>
    <hyperlink ref="B408" r:id="rId501" xr:uid="{00000000-0004-0000-0200-0000F8010000}"/>
    <hyperlink ref="D408" r:id="rId502" xr:uid="{00000000-0004-0000-0200-0000F9010000}"/>
    <hyperlink ref="B411" r:id="rId503" xr:uid="{00000000-0004-0000-0200-0000FA010000}"/>
    <hyperlink ref="B413" r:id="rId504" xr:uid="{00000000-0004-0000-0200-0000FB010000}"/>
    <hyperlink ref="D411" r:id="rId505" xr:uid="{00000000-0004-0000-0200-0000FC010000}"/>
    <hyperlink ref="D413" r:id="rId506" xr:uid="{00000000-0004-0000-0200-0000FD010000}"/>
    <hyperlink ref="B410" r:id="rId507" xr:uid="{00000000-0004-0000-0200-0000FE010000}"/>
    <hyperlink ref="B412" r:id="rId508" xr:uid="{00000000-0004-0000-0200-0000FF010000}"/>
    <hyperlink ref="B414" r:id="rId509" xr:uid="{00000000-0004-0000-0200-000000020000}"/>
    <hyperlink ref="D414" r:id="rId510" xr:uid="{00000000-0004-0000-0200-000001020000}"/>
    <hyperlink ref="B415" r:id="rId511" xr:uid="{00000000-0004-0000-0200-000002020000}"/>
    <hyperlink ref="D415" r:id="rId512" xr:uid="{00000000-0004-0000-0200-000003020000}"/>
    <hyperlink ref="B416" r:id="rId513" xr:uid="{00000000-0004-0000-0200-000004020000}"/>
    <hyperlink ref="D416" r:id="rId514" xr:uid="{00000000-0004-0000-0200-000005020000}"/>
    <hyperlink ref="B417" r:id="rId515" xr:uid="{00000000-0004-0000-0200-000006020000}"/>
    <hyperlink ref="D417" r:id="rId516" xr:uid="{00000000-0004-0000-0200-000007020000}"/>
    <hyperlink ref="B418" r:id="rId517" xr:uid="{00000000-0004-0000-0200-000008020000}"/>
    <hyperlink ref="D418" r:id="rId518" xr:uid="{00000000-0004-0000-0200-000009020000}"/>
    <hyperlink ref="B419" r:id="rId519" xr:uid="{00000000-0004-0000-0200-00000A020000}"/>
    <hyperlink ref="D419" r:id="rId520" xr:uid="{00000000-0004-0000-0200-00000B020000}"/>
    <hyperlink ref="B420" r:id="rId521" xr:uid="{00000000-0004-0000-0200-00000C020000}"/>
    <hyperlink ref="D420" r:id="rId522" xr:uid="{00000000-0004-0000-0200-00000D020000}"/>
    <hyperlink ref="B421" r:id="rId523" xr:uid="{00000000-0004-0000-0200-00000E020000}"/>
    <hyperlink ref="D421" r:id="rId524" xr:uid="{00000000-0004-0000-0200-00000F020000}"/>
    <hyperlink ref="D422" r:id="rId525" xr:uid="{00000000-0004-0000-0200-000010020000}"/>
    <hyperlink ref="B422" r:id="rId526" xr:uid="{00000000-0004-0000-0200-000011020000}"/>
    <hyperlink ref="B423" r:id="rId527" xr:uid="{00000000-0004-0000-0200-000012020000}"/>
    <hyperlink ref="D423" r:id="rId528" xr:uid="{00000000-0004-0000-0200-000013020000}"/>
    <hyperlink ref="B424" r:id="rId529" xr:uid="{00000000-0004-0000-0200-000014020000}"/>
    <hyperlink ref="D424" r:id="rId530" xr:uid="{00000000-0004-0000-0200-000015020000}"/>
    <hyperlink ref="B425" r:id="rId531" xr:uid="{00000000-0004-0000-0200-000016020000}"/>
    <hyperlink ref="D425" r:id="rId532" xr:uid="{00000000-0004-0000-0200-000017020000}"/>
    <hyperlink ref="B426" r:id="rId533" xr:uid="{00000000-0004-0000-0200-000018020000}"/>
    <hyperlink ref="D426" r:id="rId534" xr:uid="{00000000-0004-0000-0200-000019020000}"/>
    <hyperlink ref="B427" r:id="rId535" xr:uid="{00000000-0004-0000-0200-00001A020000}"/>
    <hyperlink ref="D427" r:id="rId536" xr:uid="{00000000-0004-0000-0200-00001B020000}"/>
    <hyperlink ref="B428" r:id="rId537" xr:uid="{00000000-0004-0000-0200-00001C020000}"/>
    <hyperlink ref="D428" r:id="rId538" xr:uid="{00000000-0004-0000-0200-00001D020000}"/>
    <hyperlink ref="D429" r:id="rId539" xr:uid="{00000000-0004-0000-0200-00001E020000}"/>
    <hyperlink ref="B429" r:id="rId540" xr:uid="{00000000-0004-0000-0200-00001F020000}"/>
    <hyperlink ref="B430" r:id="rId541" xr:uid="{00000000-0004-0000-0200-000020020000}"/>
    <hyperlink ref="D430" r:id="rId542" xr:uid="{00000000-0004-0000-0200-000021020000}"/>
    <hyperlink ref="B431" r:id="rId543" xr:uid="{00000000-0004-0000-0200-000022020000}"/>
    <hyperlink ref="D431" r:id="rId544" xr:uid="{00000000-0004-0000-0200-000023020000}"/>
    <hyperlink ref="B432" r:id="rId545" xr:uid="{00000000-0004-0000-0200-000024020000}"/>
    <hyperlink ref="D432" r:id="rId546" xr:uid="{00000000-0004-0000-0200-000025020000}"/>
    <hyperlink ref="B433" r:id="rId547" xr:uid="{00000000-0004-0000-0200-000026020000}"/>
    <hyperlink ref="D433" r:id="rId548" xr:uid="{00000000-0004-0000-0200-000027020000}"/>
    <hyperlink ref="B434" r:id="rId549" xr:uid="{00000000-0004-0000-0200-000028020000}"/>
    <hyperlink ref="D434" r:id="rId550" xr:uid="{00000000-0004-0000-0200-000029020000}"/>
    <hyperlink ref="B435" r:id="rId551" xr:uid="{00000000-0004-0000-0200-00002A020000}"/>
    <hyperlink ref="D435" r:id="rId552" xr:uid="{00000000-0004-0000-0200-00002B020000}"/>
    <hyperlink ref="B436" r:id="rId553" xr:uid="{00000000-0004-0000-0200-00002C020000}"/>
    <hyperlink ref="D436" r:id="rId554" xr:uid="{00000000-0004-0000-0200-00002D020000}"/>
    <hyperlink ref="B437" r:id="rId555" xr:uid="{00000000-0004-0000-0200-00002E020000}"/>
    <hyperlink ref="D437" r:id="rId556" xr:uid="{00000000-0004-0000-0200-00002F020000}"/>
    <hyperlink ref="B438" r:id="rId557" xr:uid="{00000000-0004-0000-0200-000030020000}"/>
    <hyperlink ref="D438" r:id="rId558" xr:uid="{00000000-0004-0000-0200-000031020000}"/>
    <hyperlink ref="B439" r:id="rId559" xr:uid="{00000000-0004-0000-0200-000032020000}"/>
    <hyperlink ref="D439" r:id="rId560" xr:uid="{00000000-0004-0000-0200-000033020000}"/>
    <hyperlink ref="B440" r:id="rId561" xr:uid="{00000000-0004-0000-0200-000034020000}"/>
    <hyperlink ref="D440" r:id="rId562" xr:uid="{00000000-0004-0000-0200-000035020000}"/>
    <hyperlink ref="B441" r:id="rId563" xr:uid="{00000000-0004-0000-0200-000036020000}"/>
    <hyperlink ref="D441" r:id="rId564" xr:uid="{00000000-0004-0000-0200-000037020000}"/>
    <hyperlink ref="D442" r:id="rId565" xr:uid="{00000000-0004-0000-0200-000038020000}"/>
    <hyperlink ref="B442" r:id="rId566" xr:uid="{00000000-0004-0000-0200-000039020000}"/>
    <hyperlink ref="B443" r:id="rId567" xr:uid="{00000000-0004-0000-0200-00003A020000}"/>
    <hyperlink ref="D443" r:id="rId568" xr:uid="{00000000-0004-0000-0200-00003B020000}"/>
    <hyperlink ref="B444" r:id="rId569" xr:uid="{00000000-0004-0000-0200-00003C020000}"/>
    <hyperlink ref="D444" r:id="rId570" xr:uid="{00000000-0004-0000-0200-00003D020000}"/>
    <hyperlink ref="B445" r:id="rId571" xr:uid="{00000000-0004-0000-0200-00003E020000}"/>
    <hyperlink ref="D445" r:id="rId572" xr:uid="{00000000-0004-0000-0200-00003F020000}"/>
    <hyperlink ref="B446" r:id="rId573" xr:uid="{00000000-0004-0000-0200-000040020000}"/>
    <hyperlink ref="D446" r:id="rId574" xr:uid="{00000000-0004-0000-0200-000041020000}"/>
    <hyperlink ref="B447" r:id="rId575" xr:uid="{00000000-0004-0000-0200-000042020000}"/>
    <hyperlink ref="D447" r:id="rId576" xr:uid="{00000000-0004-0000-0200-000043020000}"/>
    <hyperlink ref="B448" r:id="rId577" xr:uid="{00000000-0004-0000-0200-000044020000}"/>
    <hyperlink ref="D448" r:id="rId578" xr:uid="{00000000-0004-0000-0200-000045020000}"/>
    <hyperlink ref="B449" r:id="rId579" xr:uid="{00000000-0004-0000-0200-000046020000}"/>
    <hyperlink ref="D449" r:id="rId580" xr:uid="{00000000-0004-0000-0200-000047020000}"/>
    <hyperlink ref="B450" r:id="rId581" xr:uid="{00000000-0004-0000-0200-000048020000}"/>
    <hyperlink ref="D450" r:id="rId582" xr:uid="{00000000-0004-0000-0200-000049020000}"/>
    <hyperlink ref="B451" r:id="rId583" xr:uid="{00000000-0004-0000-0200-00004A020000}"/>
    <hyperlink ref="D451" r:id="rId584" xr:uid="{00000000-0004-0000-0200-00004B020000}"/>
    <hyperlink ref="B452" r:id="rId585" xr:uid="{00000000-0004-0000-0200-00004C020000}"/>
    <hyperlink ref="D452" r:id="rId586" xr:uid="{00000000-0004-0000-0200-00004D020000}"/>
    <hyperlink ref="B58" r:id="rId587" xr:uid="{00000000-0004-0000-0200-00004E020000}"/>
    <hyperlink ref="B453" r:id="rId588" xr:uid="{00000000-0004-0000-0200-00004F020000}"/>
    <hyperlink ref="D453" r:id="rId589" xr:uid="{00000000-0004-0000-0200-000050020000}"/>
    <hyperlink ref="B454" r:id="rId590" xr:uid="{00000000-0004-0000-0200-000051020000}"/>
    <hyperlink ref="D454" r:id="rId591" xr:uid="{00000000-0004-0000-0200-000052020000}"/>
    <hyperlink ref="B455" r:id="rId592" xr:uid="{00000000-0004-0000-0200-000053020000}"/>
    <hyperlink ref="D455" r:id="rId593" xr:uid="{00000000-0004-0000-0200-000054020000}"/>
    <hyperlink ref="B456" r:id="rId594" xr:uid="{00000000-0004-0000-0200-000055020000}"/>
    <hyperlink ref="D456" r:id="rId595" xr:uid="{00000000-0004-0000-0200-000056020000}"/>
    <hyperlink ref="B457" r:id="rId596" xr:uid="{00000000-0004-0000-0200-000057020000}"/>
    <hyperlink ref="D457" r:id="rId597" xr:uid="{00000000-0004-0000-0200-000058020000}"/>
    <hyperlink ref="D458" r:id="rId598" xr:uid="{00000000-0004-0000-0200-000059020000}"/>
    <hyperlink ref="B458" r:id="rId599" xr:uid="{00000000-0004-0000-0200-00005A020000}"/>
    <hyperlink ref="B459" r:id="rId600" xr:uid="{00000000-0004-0000-0200-00005B020000}"/>
    <hyperlink ref="D459" r:id="rId601" xr:uid="{00000000-0004-0000-0200-00005C020000}"/>
    <hyperlink ref="B460" r:id="rId602" xr:uid="{00000000-0004-0000-0200-00005D020000}"/>
    <hyperlink ref="D460" r:id="rId603" xr:uid="{00000000-0004-0000-0200-00005E020000}"/>
    <hyperlink ref="B461" r:id="rId604" xr:uid="{00000000-0004-0000-0200-00005F020000}"/>
    <hyperlink ref="D461" r:id="rId605" xr:uid="{00000000-0004-0000-0200-000060020000}"/>
    <hyperlink ref="B462" r:id="rId606" xr:uid="{00000000-0004-0000-0200-000061020000}"/>
    <hyperlink ref="D462" r:id="rId607" xr:uid="{00000000-0004-0000-0200-000062020000}"/>
    <hyperlink ref="B463" r:id="rId608" xr:uid="{00000000-0004-0000-0200-000063020000}"/>
    <hyperlink ref="D463" r:id="rId609" xr:uid="{00000000-0004-0000-0200-000064020000}"/>
    <hyperlink ref="B464" r:id="rId610" xr:uid="{00000000-0004-0000-0200-000065020000}"/>
    <hyperlink ref="D464" r:id="rId611" xr:uid="{00000000-0004-0000-0200-000066020000}"/>
    <hyperlink ref="B465" r:id="rId612" xr:uid="{00000000-0004-0000-0200-000067020000}"/>
    <hyperlink ref="D465" r:id="rId613" xr:uid="{00000000-0004-0000-0200-000068020000}"/>
    <hyperlink ref="B466" r:id="rId614" xr:uid="{00000000-0004-0000-0200-000069020000}"/>
    <hyperlink ref="D466" r:id="rId615" xr:uid="{00000000-0004-0000-0200-00006A020000}"/>
    <hyperlink ref="B467" r:id="rId616" xr:uid="{00000000-0004-0000-0200-00006B020000}"/>
    <hyperlink ref="D467" r:id="rId617" xr:uid="{00000000-0004-0000-0200-00006C020000}"/>
    <hyperlink ref="B468" r:id="rId618" xr:uid="{00000000-0004-0000-0200-00006D020000}"/>
    <hyperlink ref="D468" r:id="rId619" xr:uid="{00000000-0004-0000-0200-00006E020000}"/>
    <hyperlink ref="B469" r:id="rId620" xr:uid="{00000000-0004-0000-0200-00006F020000}"/>
    <hyperlink ref="D469" r:id="rId621" xr:uid="{00000000-0004-0000-0200-000070020000}"/>
    <hyperlink ref="B470" r:id="rId622" xr:uid="{00000000-0004-0000-0200-000071020000}"/>
    <hyperlink ref="D470" r:id="rId623" xr:uid="{00000000-0004-0000-0200-000072020000}"/>
    <hyperlink ref="B113" r:id="rId624" xr:uid="{00000000-0004-0000-0200-000073020000}"/>
    <hyperlink ref="B471" r:id="rId625" xr:uid="{00000000-0004-0000-0200-000074020000}"/>
    <hyperlink ref="D471" r:id="rId626" xr:uid="{00000000-0004-0000-0200-000075020000}"/>
    <hyperlink ref="B472" r:id="rId627" xr:uid="{00000000-0004-0000-0200-000076020000}"/>
    <hyperlink ref="D472" r:id="rId628" xr:uid="{00000000-0004-0000-0200-000077020000}"/>
    <hyperlink ref="B473" r:id="rId629" xr:uid="{00000000-0004-0000-0200-000078020000}"/>
    <hyperlink ref="D473" r:id="rId630" xr:uid="{00000000-0004-0000-0200-000079020000}"/>
    <hyperlink ref="B474" r:id="rId631" xr:uid="{00000000-0004-0000-0200-00007A020000}"/>
    <hyperlink ref="D474" r:id="rId632" xr:uid="{00000000-0004-0000-0200-00007B020000}"/>
    <hyperlink ref="B475" r:id="rId633" xr:uid="{00000000-0004-0000-0200-00007C020000}"/>
    <hyperlink ref="D475" r:id="rId634" xr:uid="{00000000-0004-0000-0200-00007D020000}"/>
    <hyperlink ref="B476" r:id="rId635" xr:uid="{00000000-0004-0000-0200-00007E020000}"/>
    <hyperlink ref="D476" r:id="rId636" xr:uid="{00000000-0004-0000-0200-00007F020000}"/>
    <hyperlink ref="B477" r:id="rId637" xr:uid="{00000000-0004-0000-0200-000080020000}"/>
    <hyperlink ref="D477" r:id="rId638" xr:uid="{00000000-0004-0000-0200-000081020000}"/>
    <hyperlink ref="B478" r:id="rId639" xr:uid="{00000000-0004-0000-0200-000082020000}"/>
    <hyperlink ref="D478" r:id="rId640" xr:uid="{00000000-0004-0000-0200-000083020000}"/>
    <hyperlink ref="B479" r:id="rId641" xr:uid="{00000000-0004-0000-0200-000084020000}"/>
    <hyperlink ref="D479" r:id="rId642" xr:uid="{00000000-0004-0000-0200-000085020000}"/>
    <hyperlink ref="B480" r:id="rId643" xr:uid="{00000000-0004-0000-0200-000086020000}"/>
    <hyperlink ref="D480" r:id="rId644" xr:uid="{00000000-0004-0000-0200-000087020000}"/>
    <hyperlink ref="B481" r:id="rId645" xr:uid="{00000000-0004-0000-0200-000088020000}"/>
    <hyperlink ref="D481" r:id="rId646" xr:uid="{00000000-0004-0000-0200-000089020000}"/>
    <hyperlink ref="B482" r:id="rId647" xr:uid="{00000000-0004-0000-0200-00008A020000}"/>
    <hyperlink ref="D482" r:id="rId648" xr:uid="{00000000-0004-0000-0200-00008B020000}"/>
    <hyperlink ref="B483" r:id="rId649" xr:uid="{00000000-0004-0000-0200-00008C020000}"/>
    <hyperlink ref="D483" r:id="rId650" xr:uid="{00000000-0004-0000-0200-00008D020000}"/>
    <hyperlink ref="B484" r:id="rId651" xr:uid="{00000000-0004-0000-0200-00008E020000}"/>
    <hyperlink ref="D484" r:id="rId652" xr:uid="{00000000-0004-0000-0200-00008F020000}"/>
    <hyperlink ref="B485" r:id="rId653" xr:uid="{00000000-0004-0000-0200-000090020000}"/>
    <hyperlink ref="D485" r:id="rId654" xr:uid="{00000000-0004-0000-0200-000091020000}"/>
    <hyperlink ref="B486" r:id="rId655" xr:uid="{00000000-0004-0000-0200-000092020000}"/>
    <hyperlink ref="D486" r:id="rId656" xr:uid="{00000000-0004-0000-0200-000093020000}"/>
    <hyperlink ref="B487" r:id="rId657" xr:uid="{00000000-0004-0000-0200-000094020000}"/>
    <hyperlink ref="D487" r:id="rId658" xr:uid="{00000000-0004-0000-0200-000095020000}"/>
    <hyperlink ref="B488" r:id="rId659" xr:uid="{00000000-0004-0000-0200-000096020000}"/>
    <hyperlink ref="D488" r:id="rId660" xr:uid="{00000000-0004-0000-0200-000097020000}"/>
    <hyperlink ref="B489" r:id="rId661" xr:uid="{00000000-0004-0000-0200-000098020000}"/>
    <hyperlink ref="D489" r:id="rId662" xr:uid="{00000000-0004-0000-0200-000099020000}"/>
    <hyperlink ref="B490" r:id="rId663" xr:uid="{00000000-0004-0000-0200-00009A020000}"/>
    <hyperlink ref="D490" r:id="rId664" xr:uid="{00000000-0004-0000-0200-00009B020000}"/>
    <hyperlink ref="B491" r:id="rId665" xr:uid="{00000000-0004-0000-0200-00009C020000}"/>
    <hyperlink ref="D491" r:id="rId666" xr:uid="{00000000-0004-0000-0200-00009D020000}"/>
    <hyperlink ref="B93" r:id="rId667" xr:uid="{00000000-0004-0000-0200-00009E020000}"/>
    <hyperlink ref="B492" r:id="rId668" xr:uid="{00000000-0004-0000-0200-00009F020000}"/>
    <hyperlink ref="D492" r:id="rId669" xr:uid="{00000000-0004-0000-0200-0000A0020000}"/>
    <hyperlink ref="B493" r:id="rId670" xr:uid="{00000000-0004-0000-0200-0000A1020000}"/>
    <hyperlink ref="D493" r:id="rId671" xr:uid="{00000000-0004-0000-0200-0000A2020000}"/>
    <hyperlink ref="B494" r:id="rId672" xr:uid="{00000000-0004-0000-0200-0000A3020000}"/>
    <hyperlink ref="D494" r:id="rId673" xr:uid="{00000000-0004-0000-0200-0000A4020000}"/>
    <hyperlink ref="B495" r:id="rId674" xr:uid="{00000000-0004-0000-0200-0000A7020000}"/>
    <hyperlink ref="D495" r:id="rId675" xr:uid="{00000000-0004-0000-0200-0000A8020000}"/>
    <hyperlink ref="B496" r:id="rId676" xr:uid="{00000000-0004-0000-0200-0000A9020000}"/>
    <hyperlink ref="D496" r:id="rId677" xr:uid="{00000000-0004-0000-0200-0000AA020000}"/>
    <hyperlink ref="B497" r:id="rId678" xr:uid="{00000000-0004-0000-0200-0000AB020000}"/>
    <hyperlink ref="D497" r:id="rId679" xr:uid="{00000000-0004-0000-0200-0000AC020000}"/>
    <hyperlink ref="B498" r:id="rId680" xr:uid="{00000000-0004-0000-0200-0000AD020000}"/>
    <hyperlink ref="D498" r:id="rId681" xr:uid="{00000000-0004-0000-0200-0000AE020000}"/>
    <hyperlink ref="B499" r:id="rId682" xr:uid="{00000000-0004-0000-0200-0000AF020000}"/>
    <hyperlink ref="D499" r:id="rId683" xr:uid="{00000000-0004-0000-0200-0000B0020000}"/>
    <hyperlink ref="B500" r:id="rId684" xr:uid="{00000000-0004-0000-0200-0000B1020000}"/>
    <hyperlink ref="D500" r:id="rId685" xr:uid="{00000000-0004-0000-0200-0000B2020000}"/>
    <hyperlink ref="B501" r:id="rId686" xr:uid="{00000000-0004-0000-0200-0000B3020000}"/>
    <hyperlink ref="D501" r:id="rId687" xr:uid="{00000000-0004-0000-0200-0000B4020000}"/>
    <hyperlink ref="B502" r:id="rId688" xr:uid="{00000000-0004-0000-0200-0000B5020000}"/>
    <hyperlink ref="D502" r:id="rId689" xr:uid="{00000000-0004-0000-0200-0000B6020000}"/>
    <hyperlink ref="B503" r:id="rId690" xr:uid="{00000000-0004-0000-0200-0000B7020000}"/>
    <hyperlink ref="D503" r:id="rId691" xr:uid="{00000000-0004-0000-0200-0000B8020000}"/>
    <hyperlink ref="B504" r:id="rId692" xr:uid="{00000000-0004-0000-0200-0000B9020000}"/>
    <hyperlink ref="D504" r:id="rId693" xr:uid="{00000000-0004-0000-0200-0000BA020000}"/>
    <hyperlink ref="B505" r:id="rId694" xr:uid="{00000000-0004-0000-0200-0000BB020000}"/>
    <hyperlink ref="D505" r:id="rId695" xr:uid="{00000000-0004-0000-0200-0000BC020000}"/>
    <hyperlink ref="B506" r:id="rId696" xr:uid="{00000000-0004-0000-0200-0000BD020000}"/>
    <hyperlink ref="D506" r:id="rId697" xr:uid="{00000000-0004-0000-0200-0000BE020000}"/>
    <hyperlink ref="B507" r:id="rId698" xr:uid="{00000000-0004-0000-0200-0000BF020000}"/>
    <hyperlink ref="D507" r:id="rId699" xr:uid="{00000000-0004-0000-0200-0000C0020000}"/>
    <hyperlink ref="B508" r:id="rId700" xr:uid="{00000000-0004-0000-0200-0000C1020000}"/>
    <hyperlink ref="D508" r:id="rId701" xr:uid="{00000000-0004-0000-0200-0000C2020000}"/>
    <hyperlink ref="B509" r:id="rId702" xr:uid="{00000000-0004-0000-0200-0000C3020000}"/>
    <hyperlink ref="D509" r:id="rId703" xr:uid="{00000000-0004-0000-0200-0000C4020000}"/>
    <hyperlink ref="B510" r:id="rId704" xr:uid="{00000000-0004-0000-0200-0000C5020000}"/>
    <hyperlink ref="D510" r:id="rId705" xr:uid="{00000000-0004-0000-0200-0000C6020000}"/>
    <hyperlink ref="B511" r:id="rId706" xr:uid="{00000000-0004-0000-0200-0000C7020000}"/>
    <hyperlink ref="D511" r:id="rId707" xr:uid="{00000000-0004-0000-0200-0000C8020000}"/>
    <hyperlink ref="B512" r:id="rId708" xr:uid="{00000000-0004-0000-0200-0000C9020000}"/>
    <hyperlink ref="D512" r:id="rId709" xr:uid="{00000000-0004-0000-0200-0000CA020000}"/>
    <hyperlink ref="B513" r:id="rId710" xr:uid="{00000000-0004-0000-0200-0000CB020000}"/>
    <hyperlink ref="D513" r:id="rId711" xr:uid="{00000000-0004-0000-0200-0000CC020000}"/>
    <hyperlink ref="B514" r:id="rId712" xr:uid="{00000000-0004-0000-0200-0000CD020000}"/>
    <hyperlink ref="D514" r:id="rId713" xr:uid="{00000000-0004-0000-0200-0000CE020000}"/>
    <hyperlink ref="B515" r:id="rId714" xr:uid="{00000000-0004-0000-0200-0000CF020000}"/>
    <hyperlink ref="D515" r:id="rId715" xr:uid="{00000000-0004-0000-0200-0000D0020000}"/>
    <hyperlink ref="B516" r:id="rId716" xr:uid="{00000000-0004-0000-0200-0000D1020000}"/>
    <hyperlink ref="D516" r:id="rId717" xr:uid="{00000000-0004-0000-0200-0000D2020000}"/>
    <hyperlink ref="B517" r:id="rId718" xr:uid="{00000000-0004-0000-0200-0000D3020000}"/>
    <hyperlink ref="D517" r:id="rId719" xr:uid="{00000000-0004-0000-0200-0000D4020000}"/>
    <hyperlink ref="B518" r:id="rId720" xr:uid="{00000000-0004-0000-0200-0000D5020000}"/>
    <hyperlink ref="D518" r:id="rId721" xr:uid="{00000000-0004-0000-0200-0000D6020000}"/>
    <hyperlink ref="B519" r:id="rId722" xr:uid="{00000000-0004-0000-0200-0000D7020000}"/>
    <hyperlink ref="D519" r:id="rId723" xr:uid="{00000000-0004-0000-0200-0000D8020000}"/>
    <hyperlink ref="B520" r:id="rId724" xr:uid="{00000000-0004-0000-0200-0000D9020000}"/>
    <hyperlink ref="D520" r:id="rId725" xr:uid="{00000000-0004-0000-0200-0000DA020000}"/>
    <hyperlink ref="B521" r:id="rId726" xr:uid="{00000000-0004-0000-0200-0000DB020000}"/>
    <hyperlink ref="D521" r:id="rId727" xr:uid="{00000000-0004-0000-0200-0000DC020000}"/>
    <hyperlink ref="B522" r:id="rId728" xr:uid="{00000000-0004-0000-0200-0000DD020000}"/>
    <hyperlink ref="D522" r:id="rId729" xr:uid="{00000000-0004-0000-0200-0000DE020000}"/>
    <hyperlink ref="D523" r:id="rId730" xr:uid="{00000000-0004-0000-0200-0000DF020000}"/>
    <hyperlink ref="B524" r:id="rId731" xr:uid="{00000000-0004-0000-0200-0000E0020000}"/>
    <hyperlink ref="D524" r:id="rId732" xr:uid="{00000000-0004-0000-0200-0000E1020000}"/>
    <hyperlink ref="B525" r:id="rId733" xr:uid="{00000000-0004-0000-0200-0000E2020000}"/>
    <hyperlink ref="D525" r:id="rId734" xr:uid="{00000000-0004-0000-0200-0000E3020000}"/>
    <hyperlink ref="B526" r:id="rId735" xr:uid="{00000000-0004-0000-0200-0000E4020000}"/>
    <hyperlink ref="D526" r:id="rId736" xr:uid="{00000000-0004-0000-0200-0000E5020000}"/>
    <hyperlink ref="B527" r:id="rId737" xr:uid="{00000000-0004-0000-0200-0000E6020000}"/>
    <hyperlink ref="D527" r:id="rId738" xr:uid="{00000000-0004-0000-0200-0000E7020000}"/>
    <hyperlink ref="B528" r:id="rId739" xr:uid="{00000000-0004-0000-0200-0000E8020000}"/>
    <hyperlink ref="D528" r:id="rId740" xr:uid="{00000000-0004-0000-0200-0000E9020000}"/>
    <hyperlink ref="B529" r:id="rId741" xr:uid="{00000000-0004-0000-0200-0000EA020000}"/>
    <hyperlink ref="D529" r:id="rId742" xr:uid="{00000000-0004-0000-0200-0000EB020000}"/>
    <hyperlink ref="B530" r:id="rId743" xr:uid="{00000000-0004-0000-0200-0000EC020000}"/>
    <hyperlink ref="D530" r:id="rId744" xr:uid="{00000000-0004-0000-0200-0000ED020000}"/>
    <hyperlink ref="B531" r:id="rId745" xr:uid="{00000000-0004-0000-0200-0000EE020000}"/>
    <hyperlink ref="B532" r:id="rId746" xr:uid="{00000000-0004-0000-0200-0000EF020000}"/>
    <hyperlink ref="D532" r:id="rId747" xr:uid="{00000000-0004-0000-0200-0000F0020000}"/>
    <hyperlink ref="B533" r:id="rId748" xr:uid="{00000000-0004-0000-0200-0000F1020000}"/>
    <hyperlink ref="D533" r:id="rId749" xr:uid="{00000000-0004-0000-0200-0000F2020000}"/>
    <hyperlink ref="B534" r:id="rId750" xr:uid="{00000000-0004-0000-0200-0000F3020000}"/>
    <hyperlink ref="D534" r:id="rId751" xr:uid="{00000000-0004-0000-0200-0000F4020000}"/>
    <hyperlink ref="B12" r:id="rId752" xr:uid="{00000000-0004-0000-0200-0000F5020000}"/>
    <hyperlink ref="B32" r:id="rId753" xr:uid="{00000000-0004-0000-0200-0000F6020000}"/>
    <hyperlink ref="B44" r:id="rId754" xr:uid="{00000000-0004-0000-0200-0000F7020000}"/>
    <hyperlink ref="B60" r:id="rId755" xr:uid="{00000000-0004-0000-0200-0000F8020000}"/>
    <hyperlink ref="B116" r:id="rId756" xr:uid="{00000000-0004-0000-0200-0000F9020000}"/>
    <hyperlink ref="B129" r:id="rId757" xr:uid="{00000000-0004-0000-0200-0000FA020000}"/>
    <hyperlink ref="B145" r:id="rId758" xr:uid="{00000000-0004-0000-0200-0000FB020000}"/>
    <hyperlink ref="B193" r:id="rId759" xr:uid="{00000000-0004-0000-0200-0000FC020000}"/>
    <hyperlink ref="B219" r:id="rId760" xr:uid="{00000000-0004-0000-0200-0000FD020000}"/>
    <hyperlink ref="B112" r:id="rId761" xr:uid="{00000000-0004-0000-0200-0000FE020000}"/>
    <hyperlink ref="B64" r:id="rId762" xr:uid="{00000000-0004-0000-0200-0000FF020000}"/>
    <hyperlink ref="B63" r:id="rId763" xr:uid="{00000000-0004-0000-0200-000000030000}"/>
    <hyperlink ref="B535" r:id="rId764" xr:uid="{00000000-0004-0000-0200-000001030000}"/>
    <hyperlink ref="D535" r:id="rId765" xr:uid="{00000000-0004-0000-0200-000002030000}"/>
    <hyperlink ref="B536" r:id="rId766" xr:uid="{00000000-0004-0000-0200-000005030000}"/>
    <hyperlink ref="D536" r:id="rId767" xr:uid="{00000000-0004-0000-0200-000006030000}"/>
    <hyperlink ref="D537" r:id="rId768" xr:uid="{00000000-0004-0000-0200-000007030000}"/>
    <hyperlink ref="B537" r:id="rId769" xr:uid="{00000000-0004-0000-0200-000008030000}"/>
    <hyperlink ref="B538" r:id="rId770" xr:uid="{00000000-0004-0000-0200-000009030000}"/>
    <hyperlink ref="D538" r:id="rId771" xr:uid="{00000000-0004-0000-0200-00000A030000}"/>
    <hyperlink ref="B539" r:id="rId772" xr:uid="{00000000-0004-0000-0200-00000B030000}"/>
    <hyperlink ref="D539" r:id="rId773" xr:uid="{00000000-0004-0000-0200-00000C030000}"/>
    <hyperlink ref="B540" r:id="rId774" xr:uid="{00000000-0004-0000-0200-00000D030000}"/>
    <hyperlink ref="D540" r:id="rId775" xr:uid="{00000000-0004-0000-0200-00000E030000}"/>
    <hyperlink ref="B541" r:id="rId776" xr:uid="{00000000-0004-0000-0200-00000F030000}"/>
    <hyperlink ref="D541" r:id="rId777" xr:uid="{00000000-0004-0000-0200-000010030000}"/>
    <hyperlink ref="B542" r:id="rId778" xr:uid="{00000000-0004-0000-0200-000011030000}"/>
    <hyperlink ref="D542" r:id="rId779" xr:uid="{00000000-0004-0000-0200-000012030000}"/>
    <hyperlink ref="D543" r:id="rId780" xr:uid="{00000000-0004-0000-0200-000013030000}"/>
    <hyperlink ref="B543" r:id="rId781" xr:uid="{00000000-0004-0000-0200-000014030000}"/>
    <hyperlink ref="B544" r:id="rId782" xr:uid="{00000000-0004-0000-0200-000015030000}"/>
    <hyperlink ref="D544" r:id="rId783" xr:uid="{00000000-0004-0000-0200-000016030000}"/>
    <hyperlink ref="B545" r:id="rId784" xr:uid="{00000000-0004-0000-0200-000017030000}"/>
    <hyperlink ref="D545" r:id="rId785" xr:uid="{00000000-0004-0000-0200-000018030000}"/>
    <hyperlink ref="B546" r:id="rId786" xr:uid="{00000000-0004-0000-0200-000019030000}"/>
    <hyperlink ref="D546" r:id="rId787" xr:uid="{00000000-0004-0000-0200-00001A030000}"/>
    <hyperlink ref="B547" r:id="rId788" xr:uid="{00000000-0004-0000-0200-00001B030000}"/>
    <hyperlink ref="D547" r:id="rId789" xr:uid="{00000000-0004-0000-0200-00001C030000}"/>
    <hyperlink ref="B548" r:id="rId790" xr:uid="{00000000-0004-0000-0200-00001D030000}"/>
    <hyperlink ref="D548" r:id="rId791" xr:uid="{00000000-0004-0000-0200-00001E030000}"/>
    <hyperlink ref="B549" r:id="rId792" xr:uid="{00000000-0004-0000-0200-00001F030000}"/>
    <hyperlink ref="D549" r:id="rId793" xr:uid="{00000000-0004-0000-0200-000020030000}"/>
    <hyperlink ref="B550" r:id="rId794" xr:uid="{00000000-0004-0000-0200-000021030000}"/>
    <hyperlink ref="D550" r:id="rId795" xr:uid="{00000000-0004-0000-0200-000022030000}"/>
    <hyperlink ref="B551" r:id="rId796" xr:uid="{00000000-0004-0000-0200-000023030000}"/>
    <hyperlink ref="D551" r:id="rId797" xr:uid="{00000000-0004-0000-0200-000024030000}"/>
    <hyperlink ref="B552" r:id="rId798" xr:uid="{00000000-0004-0000-0200-000025030000}"/>
    <hyperlink ref="D552" r:id="rId799" xr:uid="{00000000-0004-0000-0200-000026030000}"/>
    <hyperlink ref="B553" r:id="rId800" xr:uid="{00000000-0004-0000-0200-000027030000}"/>
    <hyperlink ref="D553" r:id="rId801" xr:uid="{00000000-0004-0000-0200-000028030000}"/>
    <hyperlink ref="B554" r:id="rId802" xr:uid="{00000000-0004-0000-0200-000029030000}"/>
    <hyperlink ref="D554" r:id="rId803" xr:uid="{00000000-0004-0000-0200-00002A030000}"/>
    <hyperlink ref="B555" r:id="rId804" xr:uid="{00000000-0004-0000-0200-00002B030000}"/>
    <hyperlink ref="B556" r:id="rId805" xr:uid="{00000000-0004-0000-0200-00002C030000}"/>
    <hyperlink ref="D555" r:id="rId806" xr:uid="{00000000-0004-0000-0200-00002D030000}"/>
    <hyperlink ref="D556" r:id="rId807" xr:uid="{00000000-0004-0000-0200-00002E030000}"/>
    <hyperlink ref="B557" r:id="rId808" xr:uid="{00000000-0004-0000-0200-00002F030000}"/>
    <hyperlink ref="D557" r:id="rId809" xr:uid="{00000000-0004-0000-0200-000030030000}"/>
    <hyperlink ref="B558" r:id="rId810" xr:uid="{00000000-0004-0000-0200-000031030000}"/>
    <hyperlink ref="D558" r:id="rId811" xr:uid="{00000000-0004-0000-0200-000032030000}"/>
    <hyperlink ref="B559" r:id="rId812" xr:uid="{00000000-0004-0000-0200-000033030000}"/>
    <hyperlink ref="D559" r:id="rId813" xr:uid="{00000000-0004-0000-0200-000034030000}"/>
    <hyperlink ref="B560" r:id="rId814" xr:uid="{00000000-0004-0000-0200-000035030000}"/>
    <hyperlink ref="D560" r:id="rId815" xr:uid="{00000000-0004-0000-0200-000036030000}"/>
    <hyperlink ref="B561" r:id="rId816" xr:uid="{00000000-0004-0000-0200-000037030000}"/>
    <hyperlink ref="D561" r:id="rId817" xr:uid="{00000000-0004-0000-0200-000038030000}"/>
    <hyperlink ref="B562" r:id="rId818" xr:uid="{00000000-0004-0000-0200-000039030000}"/>
    <hyperlink ref="D562" r:id="rId819" xr:uid="{00000000-0004-0000-0200-00003A030000}"/>
    <hyperlink ref="B563" r:id="rId820" xr:uid="{00000000-0004-0000-0200-00003B030000}"/>
    <hyperlink ref="D563" r:id="rId821" xr:uid="{00000000-0004-0000-0200-00003C030000}"/>
    <hyperlink ref="B564" r:id="rId822" xr:uid="{00000000-0004-0000-0200-00003D030000}"/>
    <hyperlink ref="D564" r:id="rId823" xr:uid="{00000000-0004-0000-0200-00003E030000}"/>
    <hyperlink ref="B565" r:id="rId824" xr:uid="{00000000-0004-0000-0200-00003F030000}"/>
    <hyperlink ref="D565" r:id="rId825" xr:uid="{00000000-0004-0000-0200-000040030000}"/>
    <hyperlink ref="B566" r:id="rId826" xr:uid="{00000000-0004-0000-0200-000041030000}"/>
    <hyperlink ref="D566" r:id="rId827" xr:uid="{00000000-0004-0000-0200-000042030000}"/>
    <hyperlink ref="B567" r:id="rId828" xr:uid="{00000000-0004-0000-0200-000043030000}"/>
    <hyperlink ref="D567" r:id="rId829" xr:uid="{00000000-0004-0000-0200-000044030000}"/>
    <hyperlink ref="B568" r:id="rId830" xr:uid="{00000000-0004-0000-0200-000045030000}"/>
    <hyperlink ref="D568" r:id="rId831" xr:uid="{00000000-0004-0000-0200-000046030000}"/>
    <hyperlink ref="B569" r:id="rId832" xr:uid="{00000000-0004-0000-0200-000047030000}"/>
    <hyperlink ref="D569" r:id="rId833" xr:uid="{00000000-0004-0000-0200-000048030000}"/>
    <hyperlink ref="B570" r:id="rId834" xr:uid="{00000000-0004-0000-0200-000049030000}"/>
    <hyperlink ref="D570" r:id="rId835" xr:uid="{00000000-0004-0000-0200-00004A030000}"/>
    <hyperlink ref="B571" r:id="rId836" xr:uid="{00000000-0004-0000-0200-00004B030000}"/>
    <hyperlink ref="D571" r:id="rId837" xr:uid="{00000000-0004-0000-0200-00004C030000}"/>
    <hyperlink ref="B572" r:id="rId838" xr:uid="{00000000-0004-0000-0200-00004D030000}"/>
    <hyperlink ref="D572" r:id="rId839" xr:uid="{00000000-0004-0000-0200-00004E030000}"/>
    <hyperlink ref="B573" r:id="rId840" xr:uid="{00000000-0004-0000-0200-00004F030000}"/>
    <hyperlink ref="D573" r:id="rId841" xr:uid="{00000000-0004-0000-0200-000050030000}"/>
    <hyperlink ref="B574" r:id="rId842" xr:uid="{00000000-0004-0000-0200-000051030000}"/>
    <hyperlink ref="D574" r:id="rId843" xr:uid="{00000000-0004-0000-0200-000052030000}"/>
    <hyperlink ref="B575" r:id="rId844" xr:uid="{00000000-0004-0000-0200-000053030000}"/>
    <hyperlink ref="D575" r:id="rId845" xr:uid="{00000000-0004-0000-0200-000054030000}"/>
    <hyperlink ref="B576" r:id="rId846" xr:uid="{00000000-0004-0000-0200-000055030000}"/>
    <hyperlink ref="D576" r:id="rId847" xr:uid="{00000000-0004-0000-0200-000056030000}"/>
    <hyperlink ref="B577" r:id="rId848" xr:uid="{00000000-0004-0000-0200-000057030000}"/>
    <hyperlink ref="D577" r:id="rId849" xr:uid="{00000000-0004-0000-0200-000058030000}"/>
    <hyperlink ref="B578" r:id="rId850" xr:uid="{00000000-0004-0000-0200-000059030000}"/>
    <hyperlink ref="D578" r:id="rId851" xr:uid="{00000000-0004-0000-0200-00005A030000}"/>
    <hyperlink ref="B579" r:id="rId852" xr:uid="{00000000-0004-0000-0200-00005B030000}"/>
    <hyperlink ref="D579" r:id="rId853" xr:uid="{00000000-0004-0000-0200-00005C030000}"/>
    <hyperlink ref="D580" r:id="rId854" xr:uid="{00000000-0004-0000-0200-00005D030000}"/>
    <hyperlink ref="B580" r:id="rId855" xr:uid="{00000000-0004-0000-0200-00005E030000}"/>
    <hyperlink ref="B581" r:id="rId856" xr:uid="{00000000-0004-0000-0200-000063030000}"/>
    <hyperlink ref="D581" r:id="rId857" xr:uid="{00000000-0004-0000-0200-000064030000}"/>
    <hyperlink ref="B582" r:id="rId858" xr:uid="{00000000-0004-0000-0200-000065030000}"/>
    <hyperlink ref="D582" r:id="rId859" xr:uid="{00000000-0004-0000-0200-000066030000}"/>
    <hyperlink ref="B583" r:id="rId860" xr:uid="{00000000-0004-0000-0200-000067030000}"/>
    <hyperlink ref="D583" r:id="rId861" xr:uid="{00000000-0004-0000-0200-000068030000}"/>
    <hyperlink ref="B584" r:id="rId862" xr:uid="{00000000-0004-0000-0200-000069030000}"/>
    <hyperlink ref="D584" r:id="rId863" xr:uid="{00000000-0004-0000-0200-00006A030000}"/>
    <hyperlink ref="B585" r:id="rId864" xr:uid="{00000000-0004-0000-0200-00006D030000}"/>
    <hyperlink ref="D585" r:id="rId865" xr:uid="{00000000-0004-0000-0200-00006E030000}"/>
    <hyperlink ref="B586" r:id="rId866" xr:uid="{00000000-0004-0000-0200-00006F030000}"/>
    <hyperlink ref="D586" r:id="rId867" xr:uid="{00000000-0004-0000-0200-000070030000}"/>
    <hyperlink ref="B587" r:id="rId868" xr:uid="{00000000-0004-0000-0200-000071030000}"/>
    <hyperlink ref="D587" r:id="rId869" xr:uid="{00000000-0004-0000-0200-000072030000}"/>
    <hyperlink ref="D588" r:id="rId870" xr:uid="{00000000-0004-0000-0200-000073030000}"/>
    <hyperlink ref="B588" r:id="rId871" xr:uid="{00000000-0004-0000-0200-000074030000}"/>
    <hyperlink ref="B589" r:id="rId872" xr:uid="{00000000-0004-0000-0200-000075030000}"/>
    <hyperlink ref="D589" r:id="rId873" xr:uid="{00000000-0004-0000-0200-000076030000}"/>
    <hyperlink ref="B590" r:id="rId874" xr:uid="{00000000-0004-0000-0200-000077030000}"/>
    <hyperlink ref="D590" r:id="rId875" xr:uid="{00000000-0004-0000-0200-000078030000}"/>
    <hyperlink ref="B591" r:id="rId876" xr:uid="{00000000-0004-0000-0200-000079030000}"/>
    <hyperlink ref="D591" r:id="rId877" xr:uid="{00000000-0004-0000-0200-00007A030000}"/>
    <hyperlink ref="B592" r:id="rId878" xr:uid="{00000000-0004-0000-0200-00007B030000}"/>
    <hyperlink ref="D592" r:id="rId879" xr:uid="{00000000-0004-0000-0200-00007C030000}"/>
    <hyperlink ref="B593" r:id="rId880" xr:uid="{00000000-0004-0000-0200-00007D030000}"/>
    <hyperlink ref="D593" r:id="rId881" xr:uid="{00000000-0004-0000-0200-00007E030000}"/>
    <hyperlink ref="B594" r:id="rId882" xr:uid="{00000000-0004-0000-0200-00007F030000}"/>
    <hyperlink ref="D594" r:id="rId883" xr:uid="{00000000-0004-0000-0200-000080030000}"/>
    <hyperlink ref="B595" r:id="rId884" xr:uid="{00000000-0004-0000-0200-000081030000}"/>
    <hyperlink ref="D595" r:id="rId885" xr:uid="{00000000-0004-0000-0200-000082030000}"/>
    <hyperlink ref="B596" r:id="rId886" xr:uid="{00000000-0004-0000-0200-000083030000}"/>
    <hyperlink ref="D596" r:id="rId887" xr:uid="{00000000-0004-0000-0200-000084030000}"/>
    <hyperlink ref="B597" r:id="rId888" xr:uid="{00000000-0004-0000-0200-000085030000}"/>
    <hyperlink ref="D597" r:id="rId889" xr:uid="{00000000-0004-0000-0200-000086030000}"/>
    <hyperlink ref="B598" r:id="rId890" xr:uid="{00000000-0004-0000-0200-000087030000}"/>
    <hyperlink ref="D598" r:id="rId891" xr:uid="{00000000-0004-0000-0200-000088030000}"/>
    <hyperlink ref="B599" r:id="rId892" xr:uid="{00000000-0004-0000-0200-000089030000}"/>
    <hyperlink ref="D599" r:id="rId893" xr:uid="{00000000-0004-0000-0200-00008A030000}"/>
    <hyperlink ref="B600" r:id="rId894" xr:uid="{00000000-0004-0000-0200-00008D030000}"/>
    <hyperlink ref="D600" r:id="rId895" xr:uid="{00000000-0004-0000-0200-00008E030000}"/>
    <hyperlink ref="B601" r:id="rId896" xr:uid="{00000000-0004-0000-0200-000091030000}"/>
    <hyperlink ref="D601" r:id="rId897" xr:uid="{00000000-0004-0000-0200-000092030000}"/>
    <hyperlink ref="B602" r:id="rId898" xr:uid="{00000000-0004-0000-0200-000093030000}"/>
    <hyperlink ref="B603" r:id="rId899" xr:uid="{00000000-0004-0000-0200-000094030000}"/>
    <hyperlink ref="D602" r:id="rId900" xr:uid="{00000000-0004-0000-0200-000095030000}"/>
    <hyperlink ref="D603" r:id="rId901" xr:uid="{00000000-0004-0000-0200-000096030000}"/>
    <hyperlink ref="B604" r:id="rId902" xr:uid="{00000000-0004-0000-0200-000097030000}"/>
    <hyperlink ref="D604" r:id="rId903" xr:uid="{00000000-0004-0000-0200-000098030000}"/>
    <hyperlink ref="B605" r:id="rId904" xr:uid="{00000000-0004-0000-0200-000099030000}"/>
    <hyperlink ref="D605" r:id="rId905" xr:uid="{00000000-0004-0000-0200-00009A030000}"/>
    <hyperlink ref="B606" r:id="rId906" xr:uid="{00000000-0004-0000-0200-00009B030000}"/>
    <hyperlink ref="D606" r:id="rId907" xr:uid="{00000000-0004-0000-0200-00009C030000}"/>
    <hyperlink ref="D607" r:id="rId908" xr:uid="{00000000-0004-0000-0200-00009D030000}"/>
    <hyperlink ref="B607" r:id="rId909" xr:uid="{00000000-0004-0000-0200-00009E030000}"/>
    <hyperlink ref="B608" r:id="rId910" xr:uid="{00000000-0004-0000-0200-00009F030000}"/>
    <hyperlink ref="D608" r:id="rId911" xr:uid="{00000000-0004-0000-0200-0000A0030000}"/>
    <hyperlink ref="B609" r:id="rId912" xr:uid="{00000000-0004-0000-0200-0000A1030000}"/>
    <hyperlink ref="D609" r:id="rId913" xr:uid="{00000000-0004-0000-0200-0000A2030000}"/>
    <hyperlink ref="D610" r:id="rId914" xr:uid="{00000000-0004-0000-0200-0000A3030000}"/>
    <hyperlink ref="B610" r:id="rId915" xr:uid="{00000000-0004-0000-0200-0000A4030000}"/>
    <hyperlink ref="D611" r:id="rId916" xr:uid="{00000000-0004-0000-0200-0000A5030000}"/>
    <hyperlink ref="D612" r:id="rId917" xr:uid="{00000000-0004-0000-0200-0000A6030000}"/>
    <hyperlink ref="D613" r:id="rId918" xr:uid="{00000000-0004-0000-0200-0000A7030000}"/>
    <hyperlink ref="B611" r:id="rId919" xr:uid="{00000000-0004-0000-0200-0000A8030000}"/>
    <hyperlink ref="B612" r:id="rId920" xr:uid="{00000000-0004-0000-0200-0000A9030000}"/>
    <hyperlink ref="B613" r:id="rId921" xr:uid="{00000000-0004-0000-0200-0000AA030000}"/>
    <hyperlink ref="B614" r:id="rId922" xr:uid="{00000000-0004-0000-0200-0000AB030000}"/>
    <hyperlink ref="D614" r:id="rId923" xr:uid="{00000000-0004-0000-0200-0000AC030000}"/>
    <hyperlink ref="B615" r:id="rId924" xr:uid="{00000000-0004-0000-0200-0000AD030000}"/>
    <hyperlink ref="D615" r:id="rId925" xr:uid="{00000000-0004-0000-0200-0000AE030000}"/>
    <hyperlink ref="B616" r:id="rId926" xr:uid="{00000000-0004-0000-0200-0000AF030000}"/>
    <hyperlink ref="D616" r:id="rId927" xr:uid="{00000000-0004-0000-0200-0000B0030000}"/>
    <hyperlink ref="B617" r:id="rId928" xr:uid="{00000000-0004-0000-0200-0000B1030000}"/>
    <hyperlink ref="D617" r:id="rId929" xr:uid="{00000000-0004-0000-0200-0000B2030000}"/>
    <hyperlink ref="B618" r:id="rId930" xr:uid="{00000000-0004-0000-0200-0000B3030000}"/>
    <hyperlink ref="D618" r:id="rId931" xr:uid="{00000000-0004-0000-0200-0000B4030000}"/>
    <hyperlink ref="B619" r:id="rId932" xr:uid="{00000000-0004-0000-0200-0000B5030000}"/>
    <hyperlink ref="D619" r:id="rId933" xr:uid="{00000000-0004-0000-0200-0000B6030000}"/>
    <hyperlink ref="B620" r:id="rId934" xr:uid="{00000000-0004-0000-0200-0000B7030000}"/>
    <hyperlink ref="D620" r:id="rId935" xr:uid="{00000000-0004-0000-0200-0000B8030000}"/>
    <hyperlink ref="B621" r:id="rId936" xr:uid="{00000000-0004-0000-0200-0000B9030000}"/>
    <hyperlink ref="D621" r:id="rId937" xr:uid="{00000000-0004-0000-0200-0000BA030000}"/>
    <hyperlink ref="B622" r:id="rId938" xr:uid="{00000000-0004-0000-0200-0000BB030000}"/>
    <hyperlink ref="B623" r:id="rId939" xr:uid="{00000000-0004-0000-0200-0000BC030000}"/>
    <hyperlink ref="D623" r:id="rId940" xr:uid="{00000000-0004-0000-0200-0000BD030000}"/>
    <hyperlink ref="B624" r:id="rId941" xr:uid="{00000000-0004-0000-0200-0000BE030000}"/>
    <hyperlink ref="D624" r:id="rId942" xr:uid="{00000000-0004-0000-0200-0000BF030000}"/>
    <hyperlink ref="B625" r:id="rId943" xr:uid="{00000000-0004-0000-0200-0000C0030000}"/>
    <hyperlink ref="D625" r:id="rId944" xr:uid="{00000000-0004-0000-0200-0000C1030000}"/>
    <hyperlink ref="B626" r:id="rId945" xr:uid="{00000000-0004-0000-0200-0000C2030000}"/>
    <hyperlink ref="D626" r:id="rId946" xr:uid="{00000000-0004-0000-0200-0000C3030000}"/>
    <hyperlink ref="B627" r:id="rId947" xr:uid="{00000000-0004-0000-0200-0000C4030000}"/>
    <hyperlink ref="D627" r:id="rId948" xr:uid="{00000000-0004-0000-0200-0000C5030000}"/>
    <hyperlink ref="B628" r:id="rId949" xr:uid="{00000000-0004-0000-0200-0000C6030000}"/>
    <hyperlink ref="D628" r:id="rId950" xr:uid="{00000000-0004-0000-0200-0000C7030000}"/>
    <hyperlink ref="B629" r:id="rId951" xr:uid="{00000000-0004-0000-0200-0000C8030000}"/>
    <hyperlink ref="D629" r:id="rId952" xr:uid="{00000000-0004-0000-0200-0000C9030000}"/>
    <hyperlink ref="B630" r:id="rId953" xr:uid="{00000000-0004-0000-0200-0000CA030000}"/>
    <hyperlink ref="D630" r:id="rId954" xr:uid="{00000000-0004-0000-0200-0000CB030000}"/>
    <hyperlink ref="B631" r:id="rId955" xr:uid="{00000000-0004-0000-0200-0000CC030000}"/>
    <hyperlink ref="D631" r:id="rId956" xr:uid="{00000000-0004-0000-0200-0000CD030000}"/>
    <hyperlink ref="B632" r:id="rId957" xr:uid="{00000000-0004-0000-0200-0000CE030000}"/>
    <hyperlink ref="D632" r:id="rId958" xr:uid="{00000000-0004-0000-0200-0000CF030000}"/>
    <hyperlink ref="B633" r:id="rId959" xr:uid="{00000000-0004-0000-0200-0000D0030000}"/>
    <hyperlink ref="D633" r:id="rId960" xr:uid="{00000000-0004-0000-0200-0000D1030000}"/>
    <hyperlink ref="B634" r:id="rId961" xr:uid="{00000000-0004-0000-0200-0000D2030000}"/>
    <hyperlink ref="D634" r:id="rId962" xr:uid="{00000000-0004-0000-0200-0000D3030000}"/>
    <hyperlink ref="B635" r:id="rId963" xr:uid="{00000000-0004-0000-0200-0000D4030000}"/>
    <hyperlink ref="D635" r:id="rId964" xr:uid="{00000000-0004-0000-0200-0000D5030000}"/>
    <hyperlink ref="B636" r:id="rId965" xr:uid="{00000000-0004-0000-0200-0000D6030000}"/>
    <hyperlink ref="D636" r:id="rId966" xr:uid="{00000000-0004-0000-0200-0000D7030000}"/>
    <hyperlink ref="B637" r:id="rId967" xr:uid="{00000000-0004-0000-0200-0000D8030000}"/>
    <hyperlink ref="D637" r:id="rId968" xr:uid="{00000000-0004-0000-0200-0000D9030000}"/>
    <hyperlink ref="B638" r:id="rId969" xr:uid="{00000000-0004-0000-0200-0000DA030000}"/>
    <hyperlink ref="B639" r:id="rId970" xr:uid="{00000000-0004-0000-0200-0000DB030000}"/>
    <hyperlink ref="D639" r:id="rId971" xr:uid="{00000000-0004-0000-0200-0000DC030000}"/>
    <hyperlink ref="B640" r:id="rId972" xr:uid="{00000000-0004-0000-0200-0000DD030000}"/>
    <hyperlink ref="B641" r:id="rId973" xr:uid="{00000000-0004-0000-0200-0000DE030000}"/>
    <hyperlink ref="B642" r:id="rId974" xr:uid="{00000000-0004-0000-0200-0000DF030000}"/>
    <hyperlink ref="B643" r:id="rId975" xr:uid="{00000000-0004-0000-0200-0000E0030000}"/>
    <hyperlink ref="B652" r:id="rId976" xr:uid="{00000000-0004-0000-0200-0000E1030000}"/>
    <hyperlink ref="B651" r:id="rId977" xr:uid="{00000000-0004-0000-0200-0000E2030000}"/>
    <hyperlink ref="B650" r:id="rId978" xr:uid="{00000000-0004-0000-0200-0000E3030000}"/>
    <hyperlink ref="B649" r:id="rId979" xr:uid="{00000000-0004-0000-0200-0000E4030000}"/>
    <hyperlink ref="B648" r:id="rId980" xr:uid="{00000000-0004-0000-0200-0000E5030000}"/>
    <hyperlink ref="B647" r:id="rId981" xr:uid="{00000000-0004-0000-0200-0000E6030000}"/>
    <hyperlink ref="B646" r:id="rId982" xr:uid="{00000000-0004-0000-0200-0000E7030000}"/>
    <hyperlink ref="B645" r:id="rId983" xr:uid="{00000000-0004-0000-0200-0000E8030000}"/>
    <hyperlink ref="B644" r:id="rId984" xr:uid="{00000000-0004-0000-0200-0000E9030000}"/>
    <hyperlink ref="B653" r:id="rId985" xr:uid="{C5C29899-B358-4635-9D5F-92A632F649A0}"/>
    <hyperlink ref="B654" r:id="rId986" xr:uid="{DA7F2A3E-3CD4-4879-9ECD-18FF593F3DD0}"/>
    <hyperlink ref="B655" r:id="rId987" xr:uid="{1CE362BD-5682-4AD4-A6D1-50206A25442D}"/>
    <hyperlink ref="B656" r:id="rId988" xr:uid="{47C5F93C-42D9-4147-9B63-B1AC36DEA354}"/>
    <hyperlink ref="B658" r:id="rId989" xr:uid="{B7D3AFA1-BFEA-47FB-8F7E-7BE94B852A90}"/>
    <hyperlink ref="B659" r:id="rId990" xr:uid="{3CFB7D00-266A-431B-ACFC-44D279A0707F}"/>
    <hyperlink ref="B660" r:id="rId991" xr:uid="{0EBB9D83-5054-4CC7-9757-557B8F01BB71}"/>
    <hyperlink ref="B661" r:id="rId992" xr:uid="{AAD0F01E-803F-4891-8C2F-5967A8FC563E}"/>
    <hyperlink ref="B662" r:id="rId993" xr:uid="{79C79C5D-90E8-486A-A480-ADBDB106A11C}"/>
    <hyperlink ref="B663" r:id="rId994" xr:uid="{DBFF3D76-0C2F-4F4C-A91A-7DB3AFED6A7A}"/>
    <hyperlink ref="B664" r:id="rId995" xr:uid="{7CE36A99-0449-438F-9587-D6F70DAC8982}"/>
    <hyperlink ref="B665" r:id="rId996" xr:uid="{AB21AB8D-8B2E-4A0E-AF27-DD2D6CD0CAA9}"/>
    <hyperlink ref="B667" r:id="rId997" display="https://www.microsave.net/2026/01/29/gender-intelligent-banking-is-the-key-to-unlock-kenyas-untapped-market/" xr:uid="{1AA6C4AA-2E9C-4D25-968A-10F24F776432}"/>
    <hyperlink ref="B668" r:id="rId998" display="https://www.microsave.net/2026/01/30/reaching-the-unreached-strengthening-last-mile-delivery-for-particularly-vulnerable-tribal-groups-pvtgs/" xr:uid="{C1BF9190-EFBC-46F7-9A2D-83F04DED6B2F}"/>
    <hyperlink ref="B669" r:id="rId999" display="https://www.microsave.net/2026/02/04/the-intelligent-use-of-ai-and-data-science-in-the-lifecycle-of-national-identity-systems/" xr:uid="{BB9C0B6C-D5D0-4C7C-9233-E3AD2EFB553E}"/>
    <hyperlink ref="B670" r:id="rId1000" display="https://www.microsave.net/2026/02/17/scaling-trust-a-transaction-level-observability-framework-for-national-id-programs/" xr:uid="{16D20153-6EAC-44DE-AD41-A13065FF1B27}"/>
    <hyperlink ref="B671" r:id="rId1001" display="https://www.microsave.net/2026/03/11/building-indias-climate-stack-why-agriculture-comes-first/" xr:uid="{F48C9F71-1692-4E40-AFEC-258F59DD0F71}"/>
    <hyperlink ref="B672" r:id="rId1002" display="https://www.microsave.net/2026/03/13/integrating-climate-into-indias-digital-agriculture-solutions-the-case-for-a-climate-resilient-agricultural-system-cras/" xr:uid="{4C039933-C5B6-4FE3-B1F6-BE457CBCEE1C}"/>
    <hyperlink ref="B673" r:id="rId1003" display="https://www.microsave.net/2026/03/31/the-missing-half-of-digital-health-exploring-pathways-for-ai-to-scale-in-lmic-health-systems/" xr:uid="{D9A5760A-9B4D-422D-A2B3-6C6047F91D8A}"/>
    <hyperlink ref="B346" r:id="rId1004" xr:uid="{62F38492-271F-4005-AD4F-8206AA3DE7C2}"/>
    <hyperlink ref="B347" r:id="rId1005" xr:uid="{523CE1AB-7197-4136-8913-4C81B74E3C68}"/>
    <hyperlink ref="B352" r:id="rId1006" xr:uid="{7E64B4E4-E3DE-422D-9C58-F597FD315BED}"/>
    <hyperlink ref="B362" r:id="rId1007" xr:uid="{46E21AF6-2672-4680-9EE9-D5CB360E3914}"/>
    <hyperlink ref="B409" r:id="rId1008" xr:uid="{4FC03D62-EB00-4498-8BCD-A5C46DEFCC43}"/>
    <hyperlink ref="B674" r:id="rId1009" xr:uid="{2C3F6FBF-0641-4E19-B452-E13E379A3345}"/>
    <hyperlink ref="B675" r:id="rId1010" xr:uid="{FEAF249A-E55F-4047-83A0-6AB371D4184F}"/>
    <hyperlink ref="B676" r:id="rId1011" xr:uid="{05FEAEB4-74C0-45E9-A415-1C2AA1DCEA71}"/>
    <hyperlink ref="B677" r:id="rId1012" xr:uid="{9EA30206-B58D-4C35-BB32-12F3E9FBABE1}"/>
    <hyperlink ref="B678" r:id="rId1013" xr:uid="{A12BE06D-379E-4F46-893E-5B8B255F8194}"/>
    <hyperlink ref="B679" r:id="rId1014" xr:uid="{B200EE85-083F-4732-8CE4-6915C86EABE3}"/>
    <hyperlink ref="B680" r:id="rId1015" xr:uid="{58D3CFB9-BFB6-4128-8FD1-943E26A0AA84}"/>
    <hyperlink ref="B681" r:id="rId1016" xr:uid="{DCF38E3C-7FC8-4801-9AAF-CE4927CC1DB0}"/>
    <hyperlink ref="B682" r:id="rId1017" xr:uid="{B4BA384A-DFDF-4565-8943-11949B1332B2}"/>
    <hyperlink ref="B683" r:id="rId1018" xr:uid="{17EC14FB-A69B-412A-ADD3-42A1F0A6A630}"/>
    <hyperlink ref="B684" r:id="rId1019" xr:uid="{C074ED5C-066C-4EC5-BF67-66636A6B0137}"/>
  </hyperlinks>
  <pageMargins left="0.7" right="0.7" top="0.75" bottom="0.75" header="0" footer="0"/>
  <pageSetup paperSize="9" orientation="portrait" r:id="rId102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ySplit="1" topLeftCell="A384" activePane="bottomLeft" state="frozen"/>
      <selection pane="bottomLeft" sqref="A1:XFD1"/>
    </sheetView>
  </sheetViews>
  <sheetFormatPr defaultColWidth="14.44140625" defaultRowHeight="15" customHeight="1"/>
  <cols>
    <col min="1" max="1" width="9.109375" style="40" customWidth="1"/>
    <col min="2" max="2" width="85.44140625" style="40" customWidth="1"/>
    <col min="3" max="3" width="19.44140625" style="40" customWidth="1"/>
    <col min="4" max="4" width="16.44140625" style="40" customWidth="1"/>
    <col min="5" max="5" width="61" style="40" customWidth="1"/>
    <col min="6" max="6" width="45.109375" style="40" customWidth="1"/>
    <col min="7" max="26" width="9.109375" style="40" customWidth="1"/>
    <col min="27" max="16384" width="14.44140625" style="40"/>
  </cols>
  <sheetData>
    <row r="1" spans="1:26" s="497" customFormat="1" ht="33.75" customHeight="1">
      <c r="A1" s="494" t="s">
        <v>2539</v>
      </c>
      <c r="B1" s="494" t="s">
        <v>2540</v>
      </c>
      <c r="C1" s="495" t="s">
        <v>2</v>
      </c>
      <c r="D1" s="494" t="s">
        <v>2541</v>
      </c>
      <c r="E1" s="494" t="s">
        <v>3</v>
      </c>
      <c r="F1" s="494" t="s">
        <v>2542</v>
      </c>
      <c r="G1" s="496"/>
      <c r="H1" s="496"/>
      <c r="I1" s="496"/>
      <c r="J1" s="496"/>
      <c r="K1" s="496"/>
      <c r="L1" s="496"/>
      <c r="M1" s="496"/>
      <c r="N1" s="496"/>
      <c r="O1" s="496"/>
      <c r="P1" s="496"/>
      <c r="Q1" s="496"/>
      <c r="R1" s="496"/>
      <c r="S1" s="496"/>
      <c r="T1" s="496"/>
      <c r="U1" s="496"/>
      <c r="V1" s="496"/>
      <c r="W1" s="496"/>
      <c r="X1" s="496"/>
      <c r="Y1" s="496"/>
      <c r="Z1" s="496"/>
    </row>
    <row r="2" spans="1:26" ht="132" customHeight="1">
      <c r="A2" s="273">
        <v>1</v>
      </c>
      <c r="B2" s="270" t="s">
        <v>2543</v>
      </c>
      <c r="C2" s="394">
        <f>DATE(2008,3,10)</f>
        <v>39517</v>
      </c>
      <c r="D2" s="395" t="s">
        <v>2544</v>
      </c>
      <c r="E2" s="273" t="s">
        <v>2545</v>
      </c>
      <c r="F2" s="273" t="s">
        <v>2546</v>
      </c>
      <c r="G2" s="86"/>
      <c r="H2" s="86"/>
      <c r="I2" s="86"/>
      <c r="J2" s="86"/>
      <c r="K2" s="86"/>
      <c r="L2" s="86"/>
      <c r="M2" s="86"/>
      <c r="N2" s="86"/>
      <c r="O2" s="86"/>
      <c r="P2" s="86"/>
      <c r="Q2" s="86"/>
      <c r="R2" s="86"/>
      <c r="S2" s="86"/>
      <c r="T2" s="86"/>
      <c r="U2" s="86"/>
      <c r="V2" s="86"/>
      <c r="W2" s="86"/>
      <c r="X2" s="86"/>
      <c r="Y2" s="86"/>
      <c r="Z2" s="138"/>
    </row>
    <row r="3" spans="1:26" ht="144">
      <c r="A3" s="273">
        <v>2</v>
      </c>
      <c r="B3" s="270" t="s">
        <v>2547</v>
      </c>
      <c r="C3" s="396">
        <f>DATE(2008,3,17)</f>
        <v>39524</v>
      </c>
      <c r="D3" s="395" t="s">
        <v>2544</v>
      </c>
      <c r="E3" s="273" t="s">
        <v>2548</v>
      </c>
      <c r="F3" s="273" t="s">
        <v>2549</v>
      </c>
      <c r="G3" s="86"/>
      <c r="H3" s="86"/>
      <c r="I3" s="86"/>
      <c r="J3" s="86"/>
      <c r="K3" s="86"/>
      <c r="L3" s="86"/>
      <c r="M3" s="86"/>
      <c r="N3" s="86"/>
      <c r="O3" s="86"/>
      <c r="P3" s="86"/>
      <c r="Q3" s="86"/>
      <c r="R3" s="86"/>
      <c r="S3" s="86"/>
      <c r="T3" s="86"/>
      <c r="U3" s="86"/>
      <c r="V3" s="86"/>
      <c r="W3" s="86"/>
      <c r="X3" s="86"/>
      <c r="Y3" s="86"/>
      <c r="Z3" s="138"/>
    </row>
    <row r="4" spans="1:26" ht="144">
      <c r="A4" s="273">
        <v>3</v>
      </c>
      <c r="B4" s="270" t="s">
        <v>2550</v>
      </c>
      <c r="C4" s="396">
        <f>DATE(2008,3,24)</f>
        <v>39531</v>
      </c>
      <c r="D4" s="395" t="s">
        <v>2544</v>
      </c>
      <c r="E4" s="273" t="s">
        <v>2551</v>
      </c>
      <c r="F4" s="273" t="s">
        <v>2552</v>
      </c>
      <c r="G4" s="86"/>
      <c r="H4" s="86"/>
      <c r="I4" s="86"/>
      <c r="J4" s="86"/>
      <c r="K4" s="86"/>
      <c r="L4" s="86"/>
      <c r="M4" s="86"/>
      <c r="N4" s="86"/>
      <c r="O4" s="86"/>
      <c r="P4" s="86"/>
      <c r="Q4" s="86"/>
      <c r="R4" s="86"/>
      <c r="S4" s="86"/>
      <c r="T4" s="86"/>
      <c r="U4" s="86"/>
      <c r="V4" s="86"/>
      <c r="W4" s="86"/>
      <c r="X4" s="86"/>
      <c r="Y4" s="86"/>
      <c r="Z4" s="138"/>
    </row>
    <row r="5" spans="1:26" ht="131.4" customHeight="1">
      <c r="A5" s="273">
        <v>4</v>
      </c>
      <c r="B5" s="270" t="s">
        <v>2553</v>
      </c>
      <c r="C5" s="396">
        <f>DATE(2008,3,31)</f>
        <v>39538</v>
      </c>
      <c r="D5" s="395" t="s">
        <v>2544</v>
      </c>
      <c r="E5" s="273" t="s">
        <v>2554</v>
      </c>
      <c r="F5" s="273" t="s">
        <v>2555</v>
      </c>
      <c r="G5" s="86"/>
      <c r="H5" s="86"/>
      <c r="I5" s="86"/>
      <c r="J5" s="86"/>
      <c r="K5" s="86"/>
      <c r="L5" s="86"/>
      <c r="M5" s="86"/>
      <c r="N5" s="86"/>
      <c r="O5" s="86"/>
      <c r="P5" s="86"/>
      <c r="Q5" s="86"/>
      <c r="R5" s="86"/>
      <c r="S5" s="86"/>
      <c r="T5" s="86"/>
      <c r="U5" s="86"/>
      <c r="V5" s="86"/>
      <c r="W5" s="86"/>
      <c r="X5" s="86"/>
      <c r="Y5" s="86"/>
      <c r="Z5" s="138"/>
    </row>
    <row r="6" spans="1:26" ht="129.6">
      <c r="A6" s="273">
        <v>5</v>
      </c>
      <c r="B6" s="270" t="s">
        <v>2556</v>
      </c>
      <c r="C6" s="396">
        <f>DATE(2008,4,7)</f>
        <v>39545</v>
      </c>
      <c r="D6" s="395" t="s">
        <v>2544</v>
      </c>
      <c r="E6" s="273" t="s">
        <v>2557</v>
      </c>
      <c r="F6" s="273" t="s">
        <v>2558</v>
      </c>
      <c r="G6" s="86"/>
      <c r="H6" s="86"/>
      <c r="I6" s="86"/>
      <c r="J6" s="86"/>
      <c r="K6" s="86"/>
      <c r="L6" s="86"/>
      <c r="M6" s="86"/>
      <c r="N6" s="86"/>
      <c r="O6" s="86"/>
      <c r="P6" s="86"/>
      <c r="Q6" s="86"/>
      <c r="R6" s="86"/>
      <c r="S6" s="86"/>
      <c r="T6" s="86"/>
      <c r="U6" s="86"/>
      <c r="V6" s="86"/>
      <c r="W6" s="86"/>
      <c r="X6" s="86"/>
      <c r="Y6" s="86"/>
      <c r="Z6" s="138"/>
    </row>
    <row r="7" spans="1:26" ht="129.6">
      <c r="A7" s="273">
        <v>6</v>
      </c>
      <c r="B7" s="270" t="s">
        <v>2559</v>
      </c>
      <c r="C7" s="396">
        <f>DATE(2008,4,15)</f>
        <v>39553</v>
      </c>
      <c r="D7" s="395" t="s">
        <v>2544</v>
      </c>
      <c r="E7" s="273" t="s">
        <v>2560</v>
      </c>
      <c r="F7" s="273" t="s">
        <v>2561</v>
      </c>
      <c r="G7" s="86"/>
      <c r="H7" s="86"/>
      <c r="I7" s="86"/>
      <c r="J7" s="86"/>
      <c r="K7" s="86"/>
      <c r="L7" s="86"/>
      <c r="M7" s="86"/>
      <c r="N7" s="86"/>
      <c r="O7" s="86"/>
      <c r="P7" s="86"/>
      <c r="Q7" s="86"/>
      <c r="R7" s="86"/>
      <c r="S7" s="86"/>
      <c r="T7" s="86"/>
      <c r="U7" s="86"/>
      <c r="V7" s="86"/>
      <c r="W7" s="86"/>
      <c r="X7" s="86"/>
      <c r="Y7" s="86"/>
      <c r="Z7" s="138"/>
    </row>
    <row r="8" spans="1:26" ht="144">
      <c r="A8" s="273">
        <v>7</v>
      </c>
      <c r="B8" s="270" t="s">
        <v>2562</v>
      </c>
      <c r="C8" s="396">
        <f>DATE(2008,4,21)</f>
        <v>39559</v>
      </c>
      <c r="D8" s="395" t="s">
        <v>2544</v>
      </c>
      <c r="E8" s="273" t="s">
        <v>2563</v>
      </c>
      <c r="F8" s="273" t="s">
        <v>21</v>
      </c>
      <c r="G8" s="86"/>
      <c r="H8" s="86"/>
      <c r="I8" s="86"/>
      <c r="J8" s="86"/>
      <c r="K8" s="86"/>
      <c r="L8" s="86"/>
      <c r="M8" s="86"/>
      <c r="N8" s="86"/>
      <c r="O8" s="86"/>
      <c r="P8" s="86"/>
      <c r="Q8" s="86"/>
      <c r="R8" s="86"/>
      <c r="S8" s="86"/>
      <c r="T8" s="86"/>
      <c r="U8" s="86"/>
      <c r="V8" s="86"/>
      <c r="W8" s="86"/>
      <c r="X8" s="86"/>
      <c r="Y8" s="86"/>
      <c r="Z8" s="138"/>
    </row>
    <row r="9" spans="1:26" ht="103.8" customHeight="1">
      <c r="A9" s="273">
        <v>8</v>
      </c>
      <c r="B9" s="270" t="s">
        <v>2564</v>
      </c>
      <c r="C9" s="396">
        <f>DATE(2008,4,28)</f>
        <v>39566</v>
      </c>
      <c r="D9" s="395" t="s">
        <v>2544</v>
      </c>
      <c r="E9" s="273" t="s">
        <v>2565</v>
      </c>
      <c r="F9" s="273" t="s">
        <v>2566</v>
      </c>
      <c r="G9" s="86"/>
      <c r="H9" s="86"/>
      <c r="I9" s="86"/>
      <c r="J9" s="86"/>
      <c r="K9" s="86"/>
      <c r="L9" s="86"/>
      <c r="M9" s="86"/>
      <c r="N9" s="86"/>
      <c r="O9" s="86"/>
      <c r="P9" s="86"/>
      <c r="Q9" s="86"/>
      <c r="R9" s="86"/>
      <c r="S9" s="86"/>
      <c r="T9" s="86"/>
      <c r="U9" s="86"/>
      <c r="V9" s="86"/>
      <c r="W9" s="86"/>
      <c r="X9" s="86"/>
      <c r="Y9" s="86"/>
      <c r="Z9" s="138"/>
    </row>
    <row r="10" spans="1:26" ht="129.6">
      <c r="A10" s="273">
        <v>9</v>
      </c>
      <c r="B10" s="270" t="s">
        <v>2567</v>
      </c>
      <c r="C10" s="396">
        <f>DATE(2008,5,5)</f>
        <v>39573</v>
      </c>
      <c r="D10" s="395" t="s">
        <v>2544</v>
      </c>
      <c r="E10" s="273" t="s">
        <v>2568</v>
      </c>
      <c r="F10" s="273" t="s">
        <v>2569</v>
      </c>
      <c r="G10" s="86"/>
      <c r="H10" s="86"/>
      <c r="I10" s="86"/>
      <c r="J10" s="86"/>
      <c r="K10" s="86"/>
      <c r="L10" s="86"/>
      <c r="M10" s="86"/>
      <c r="N10" s="86"/>
      <c r="O10" s="86"/>
      <c r="P10" s="86"/>
      <c r="Q10" s="86"/>
      <c r="R10" s="86"/>
      <c r="S10" s="86"/>
      <c r="T10" s="86"/>
      <c r="U10" s="86"/>
      <c r="V10" s="139"/>
      <c r="W10" s="139"/>
      <c r="X10" s="86"/>
      <c r="Y10" s="86"/>
      <c r="Z10" s="138"/>
    </row>
    <row r="11" spans="1:26" ht="86.4">
      <c r="A11" s="273">
        <v>10</v>
      </c>
      <c r="B11" s="270" t="s">
        <v>2570</v>
      </c>
      <c r="C11" s="396">
        <f>DATE(2008,5,12)</f>
        <v>39580</v>
      </c>
      <c r="D11" s="395" t="s">
        <v>2544</v>
      </c>
      <c r="E11" s="273" t="s">
        <v>2571</v>
      </c>
      <c r="F11" s="273" t="s">
        <v>2569</v>
      </c>
      <c r="G11" s="86"/>
      <c r="H11" s="86"/>
      <c r="I11" s="86"/>
      <c r="J11" s="86"/>
      <c r="K11" s="86"/>
      <c r="L11" s="86"/>
      <c r="M11" s="86"/>
      <c r="N11" s="86"/>
      <c r="O11" s="86"/>
      <c r="P11" s="86"/>
      <c r="Q11" s="86"/>
      <c r="R11" s="86"/>
      <c r="S11" s="86"/>
      <c r="T11" s="86"/>
      <c r="U11" s="86"/>
      <c r="V11" s="139"/>
      <c r="W11" s="139"/>
      <c r="X11" s="86"/>
      <c r="Y11" s="86"/>
      <c r="Z11" s="138"/>
    </row>
    <row r="12" spans="1:26" ht="57.6">
      <c r="A12" s="273">
        <v>11</v>
      </c>
      <c r="B12" s="270" t="s">
        <v>2572</v>
      </c>
      <c r="C12" s="396">
        <f>DATE(2008,5,19)</f>
        <v>39587</v>
      </c>
      <c r="D12" s="395" t="s">
        <v>2544</v>
      </c>
      <c r="E12" s="273" t="s">
        <v>2573</v>
      </c>
      <c r="F12" s="273" t="s">
        <v>2569</v>
      </c>
      <c r="G12" s="86"/>
      <c r="H12" s="86"/>
      <c r="I12" s="86"/>
      <c r="J12" s="86"/>
      <c r="K12" s="86"/>
      <c r="L12" s="86"/>
      <c r="M12" s="86"/>
      <c r="N12" s="86"/>
      <c r="O12" s="86"/>
      <c r="P12" s="86"/>
      <c r="Q12" s="86"/>
      <c r="R12" s="86"/>
      <c r="S12" s="86"/>
      <c r="T12" s="86"/>
      <c r="U12" s="86"/>
      <c r="V12" s="139"/>
      <c r="W12" s="139"/>
      <c r="X12" s="86"/>
      <c r="Y12" s="86"/>
      <c r="Z12" s="138"/>
    </row>
    <row r="13" spans="1:26" ht="129.6">
      <c r="A13" s="273">
        <v>12</v>
      </c>
      <c r="B13" s="270" t="s">
        <v>2574</v>
      </c>
      <c r="C13" s="396">
        <f>DATE(2008,5,26)</f>
        <v>39594</v>
      </c>
      <c r="D13" s="395" t="s">
        <v>2544</v>
      </c>
      <c r="E13" s="273" t="s">
        <v>2575</v>
      </c>
      <c r="F13" s="273" t="s">
        <v>2558</v>
      </c>
      <c r="G13" s="86"/>
      <c r="H13" s="86"/>
      <c r="I13" s="86"/>
      <c r="J13" s="86"/>
      <c r="K13" s="86"/>
      <c r="L13" s="86"/>
      <c r="M13" s="86"/>
      <c r="N13" s="86"/>
      <c r="O13" s="86"/>
      <c r="P13" s="86"/>
      <c r="Q13" s="86"/>
      <c r="R13" s="86"/>
      <c r="S13" s="86"/>
      <c r="T13" s="86"/>
      <c r="U13" s="86"/>
      <c r="V13" s="139"/>
      <c r="W13" s="139"/>
      <c r="X13" s="86"/>
      <c r="Y13" s="86"/>
      <c r="Z13" s="138"/>
    </row>
    <row r="14" spans="1:26" ht="100.8">
      <c r="A14" s="273">
        <v>13</v>
      </c>
      <c r="B14" s="270" t="s">
        <v>2576</v>
      </c>
      <c r="C14" s="396">
        <f>DATE(2008,6,2)</f>
        <v>39601</v>
      </c>
      <c r="D14" s="395" t="s">
        <v>2544</v>
      </c>
      <c r="E14" s="273" t="s">
        <v>2577</v>
      </c>
      <c r="F14" s="273" t="s">
        <v>2558</v>
      </c>
      <c r="G14" s="86"/>
      <c r="H14" s="86"/>
      <c r="I14" s="86"/>
      <c r="J14" s="86"/>
      <c r="K14" s="86"/>
      <c r="L14" s="86"/>
      <c r="M14" s="86"/>
      <c r="N14" s="86"/>
      <c r="O14" s="86"/>
      <c r="P14" s="86"/>
      <c r="Q14" s="86"/>
      <c r="R14" s="86"/>
      <c r="S14" s="86"/>
      <c r="T14" s="86"/>
      <c r="U14" s="86"/>
      <c r="V14" s="139"/>
      <c r="W14" s="139"/>
      <c r="X14" s="86"/>
      <c r="Y14" s="86"/>
      <c r="Z14" s="138"/>
    </row>
    <row r="15" spans="1:26" ht="86.4">
      <c r="A15" s="273">
        <v>14</v>
      </c>
      <c r="B15" s="270" t="s">
        <v>2578</v>
      </c>
      <c r="C15" s="396">
        <f>DATE(2008,6,9)</f>
        <v>39608</v>
      </c>
      <c r="D15" s="395" t="s">
        <v>2544</v>
      </c>
      <c r="E15" s="273" t="s">
        <v>2579</v>
      </c>
      <c r="F15" s="273"/>
      <c r="G15" s="86"/>
      <c r="H15" s="86"/>
      <c r="I15" s="86"/>
      <c r="J15" s="86"/>
      <c r="K15" s="86"/>
      <c r="L15" s="86"/>
      <c r="M15" s="86"/>
      <c r="N15" s="86"/>
      <c r="O15" s="86"/>
      <c r="P15" s="86"/>
      <c r="Q15" s="86"/>
      <c r="R15" s="86"/>
      <c r="S15" s="86"/>
      <c r="T15" s="86"/>
      <c r="U15" s="86"/>
      <c r="V15" s="139"/>
      <c r="W15" s="139"/>
      <c r="X15" s="86"/>
      <c r="Y15" s="86"/>
      <c r="Z15" s="138"/>
    </row>
    <row r="16" spans="1:26" ht="144">
      <c r="A16" s="273">
        <v>15</v>
      </c>
      <c r="B16" s="270" t="s">
        <v>2580</v>
      </c>
      <c r="C16" s="396">
        <f>DATE(2008,6,16)</f>
        <v>39615</v>
      </c>
      <c r="D16" s="395" t="s">
        <v>2544</v>
      </c>
      <c r="E16" s="273" t="s">
        <v>2581</v>
      </c>
      <c r="F16" s="273" t="s">
        <v>2558</v>
      </c>
      <c r="G16" s="86"/>
      <c r="H16" s="86"/>
      <c r="I16" s="86"/>
      <c r="J16" s="86"/>
      <c r="K16" s="86"/>
      <c r="L16" s="86"/>
      <c r="M16" s="86"/>
      <c r="N16" s="86"/>
      <c r="O16" s="86"/>
      <c r="P16" s="86"/>
      <c r="Q16" s="86"/>
      <c r="R16" s="86"/>
      <c r="S16" s="86"/>
      <c r="T16" s="86"/>
      <c r="U16" s="86"/>
      <c r="V16" s="139"/>
      <c r="W16" s="139"/>
      <c r="X16" s="86"/>
      <c r="Y16" s="86"/>
      <c r="Z16" s="138"/>
    </row>
    <row r="17" spans="1:26" ht="115.2">
      <c r="A17" s="273">
        <v>16</v>
      </c>
      <c r="B17" s="270" t="s">
        <v>2582</v>
      </c>
      <c r="C17" s="396">
        <f>DATE(2008,6,23)</f>
        <v>39622</v>
      </c>
      <c r="D17" s="395" t="s">
        <v>2544</v>
      </c>
      <c r="E17" s="273" t="s">
        <v>2583</v>
      </c>
      <c r="F17" s="273" t="s">
        <v>2569</v>
      </c>
      <c r="G17" s="86"/>
      <c r="H17" s="86"/>
      <c r="I17" s="86"/>
      <c r="J17" s="86"/>
      <c r="K17" s="86"/>
      <c r="L17" s="86"/>
      <c r="M17" s="86"/>
      <c r="N17" s="86"/>
      <c r="O17" s="86"/>
      <c r="P17" s="86"/>
      <c r="Q17" s="86"/>
      <c r="R17" s="86"/>
      <c r="S17" s="86"/>
      <c r="T17" s="86"/>
      <c r="U17" s="86"/>
      <c r="V17" s="139"/>
      <c r="W17" s="139"/>
      <c r="X17" s="86"/>
      <c r="Y17" s="86"/>
      <c r="Z17" s="138"/>
    </row>
    <row r="18" spans="1:26" ht="115.2">
      <c r="A18" s="273">
        <v>17</v>
      </c>
      <c r="B18" s="270" t="s">
        <v>2584</v>
      </c>
      <c r="C18" s="396">
        <f>DATE(2008,6,30)</f>
        <v>39629</v>
      </c>
      <c r="D18" s="395" t="s">
        <v>2544</v>
      </c>
      <c r="E18" s="273" t="s">
        <v>2585</v>
      </c>
      <c r="F18" s="273" t="s">
        <v>2569</v>
      </c>
      <c r="G18" s="86"/>
      <c r="H18" s="86"/>
      <c r="I18" s="86"/>
      <c r="J18" s="86"/>
      <c r="K18" s="86"/>
      <c r="L18" s="86"/>
      <c r="M18" s="86"/>
      <c r="N18" s="86"/>
      <c r="O18" s="86"/>
      <c r="P18" s="86"/>
      <c r="Q18" s="86"/>
      <c r="R18" s="86"/>
      <c r="S18" s="86"/>
      <c r="T18" s="86"/>
      <c r="U18" s="86"/>
      <c r="V18" s="139"/>
      <c r="W18" s="139"/>
      <c r="X18" s="86"/>
      <c r="Y18" s="86"/>
      <c r="Z18" s="138"/>
    </row>
    <row r="19" spans="1:26" ht="144">
      <c r="A19" s="273">
        <v>18</v>
      </c>
      <c r="B19" s="270" t="s">
        <v>2586</v>
      </c>
      <c r="C19" s="396">
        <f>DATE(2008,7,7)</f>
        <v>39636</v>
      </c>
      <c r="D19" s="395" t="s">
        <v>2544</v>
      </c>
      <c r="E19" s="273" t="s">
        <v>2587</v>
      </c>
      <c r="F19" s="273" t="s">
        <v>2558</v>
      </c>
      <c r="G19" s="86"/>
      <c r="H19" s="86"/>
      <c r="I19" s="86"/>
      <c r="J19" s="86"/>
      <c r="K19" s="86"/>
      <c r="L19" s="86"/>
      <c r="M19" s="86"/>
      <c r="N19" s="86"/>
      <c r="O19" s="86"/>
      <c r="P19" s="86"/>
      <c r="Q19" s="86"/>
      <c r="R19" s="86"/>
      <c r="S19" s="86"/>
      <c r="T19" s="86"/>
      <c r="U19" s="86"/>
      <c r="V19" s="139"/>
      <c r="W19" s="139"/>
      <c r="X19" s="86"/>
      <c r="Y19" s="86"/>
      <c r="Z19" s="138"/>
    </row>
    <row r="20" spans="1:26" ht="129.6">
      <c r="A20" s="273">
        <v>19</v>
      </c>
      <c r="B20" s="270" t="s">
        <v>2588</v>
      </c>
      <c r="C20" s="396">
        <f>DATE(2008,7,14)</f>
        <v>39643</v>
      </c>
      <c r="D20" s="395" t="s">
        <v>2544</v>
      </c>
      <c r="E20" s="273" t="s">
        <v>2589</v>
      </c>
      <c r="F20" s="273" t="s">
        <v>2569</v>
      </c>
      <c r="G20" s="86"/>
      <c r="H20" s="86"/>
      <c r="I20" s="86"/>
      <c r="J20" s="86"/>
      <c r="K20" s="86"/>
      <c r="L20" s="86"/>
      <c r="M20" s="86"/>
      <c r="N20" s="86"/>
      <c r="O20" s="86"/>
      <c r="P20" s="86"/>
      <c r="Q20" s="86"/>
      <c r="R20" s="86"/>
      <c r="S20" s="86"/>
      <c r="T20" s="86"/>
      <c r="U20" s="86"/>
      <c r="V20" s="139"/>
      <c r="W20" s="139"/>
      <c r="X20" s="86"/>
      <c r="Y20" s="86"/>
      <c r="Z20" s="138"/>
    </row>
    <row r="21" spans="1:26" ht="129.6">
      <c r="A21" s="273">
        <v>20</v>
      </c>
      <c r="B21" s="270" t="s">
        <v>2590</v>
      </c>
      <c r="C21" s="396">
        <f>DATE(2008,7,21)</f>
        <v>39650</v>
      </c>
      <c r="D21" s="395" t="s">
        <v>2544</v>
      </c>
      <c r="E21" s="273" t="s">
        <v>2591</v>
      </c>
      <c r="F21" s="273" t="s">
        <v>2569</v>
      </c>
      <c r="G21" s="86"/>
      <c r="H21" s="86"/>
      <c r="I21" s="86"/>
      <c r="J21" s="86"/>
      <c r="K21" s="86"/>
      <c r="L21" s="86"/>
      <c r="M21" s="86"/>
      <c r="N21" s="86"/>
      <c r="O21" s="86"/>
      <c r="P21" s="86"/>
      <c r="Q21" s="86"/>
      <c r="R21" s="86"/>
      <c r="S21" s="86"/>
      <c r="T21" s="86"/>
      <c r="U21" s="86"/>
      <c r="V21" s="139"/>
      <c r="W21" s="139"/>
      <c r="X21" s="86"/>
      <c r="Y21" s="86"/>
      <c r="Z21" s="138"/>
    </row>
    <row r="22" spans="1:26" ht="129.6">
      <c r="A22" s="273">
        <v>21</v>
      </c>
      <c r="B22" s="270" t="s">
        <v>2592</v>
      </c>
      <c r="C22" s="396">
        <f>DATE(2008,7,28)</f>
        <v>39657</v>
      </c>
      <c r="D22" s="395" t="s">
        <v>2544</v>
      </c>
      <c r="E22" s="273" t="s">
        <v>2593</v>
      </c>
      <c r="F22" s="273" t="s">
        <v>1766</v>
      </c>
      <c r="G22" s="86"/>
      <c r="H22" s="86"/>
      <c r="I22" s="86"/>
      <c r="J22" s="86"/>
      <c r="K22" s="86"/>
      <c r="L22" s="86"/>
      <c r="M22" s="86"/>
      <c r="N22" s="86"/>
      <c r="O22" s="86"/>
      <c r="P22" s="86"/>
      <c r="Q22" s="86"/>
      <c r="R22" s="86"/>
      <c r="S22" s="86"/>
      <c r="T22" s="86"/>
      <c r="U22" s="86"/>
      <c r="V22" s="139"/>
      <c r="W22" s="139"/>
      <c r="X22" s="86"/>
      <c r="Y22" s="86"/>
      <c r="Z22" s="138"/>
    </row>
    <row r="23" spans="1:26" ht="33.75" customHeight="1">
      <c r="A23" s="273">
        <v>22</v>
      </c>
      <c r="B23" s="270" t="s">
        <v>2594</v>
      </c>
      <c r="C23" s="396">
        <f>DATE(2008,8,4)</f>
        <v>39664</v>
      </c>
      <c r="D23" s="395" t="s">
        <v>2544</v>
      </c>
      <c r="E23" s="273" t="s">
        <v>2595</v>
      </c>
      <c r="F23" s="273" t="s">
        <v>2552</v>
      </c>
      <c r="G23" s="86"/>
      <c r="H23" s="86"/>
      <c r="I23" s="86"/>
      <c r="J23" s="86"/>
      <c r="K23" s="86"/>
      <c r="L23" s="86"/>
      <c r="M23" s="86"/>
      <c r="N23" s="86"/>
      <c r="O23" s="86"/>
      <c r="P23" s="86"/>
      <c r="Q23" s="86"/>
      <c r="R23" s="86"/>
      <c r="S23" s="86"/>
      <c r="T23" s="86"/>
      <c r="U23" s="86"/>
      <c r="V23" s="139"/>
      <c r="W23" s="139"/>
      <c r="X23" s="86"/>
      <c r="Y23" s="86"/>
      <c r="Z23" s="138"/>
    </row>
    <row r="24" spans="1:26" ht="33.75" customHeight="1">
      <c r="A24" s="273">
        <v>23</v>
      </c>
      <c r="B24" s="270" t="s">
        <v>2596</v>
      </c>
      <c r="C24" s="396">
        <f>DATE(2008,8,11)</f>
        <v>39671</v>
      </c>
      <c r="D24" s="395" t="s">
        <v>2544</v>
      </c>
      <c r="E24" s="273" t="s">
        <v>2597</v>
      </c>
      <c r="F24" s="273" t="s">
        <v>2546</v>
      </c>
      <c r="G24" s="86"/>
      <c r="H24" s="86"/>
      <c r="I24" s="86"/>
      <c r="J24" s="86"/>
      <c r="K24" s="86"/>
      <c r="L24" s="86"/>
      <c r="M24" s="86"/>
      <c r="N24" s="86"/>
      <c r="O24" s="86"/>
      <c r="P24" s="86"/>
      <c r="Q24" s="86"/>
      <c r="R24" s="86"/>
      <c r="S24" s="86"/>
      <c r="T24" s="86"/>
      <c r="U24" s="86"/>
      <c r="V24" s="139"/>
      <c r="W24" s="139"/>
      <c r="X24" s="86"/>
      <c r="Y24" s="86"/>
      <c r="Z24" s="138"/>
    </row>
    <row r="25" spans="1:26" ht="33.75" customHeight="1">
      <c r="A25" s="273">
        <v>24</v>
      </c>
      <c r="B25" s="270" t="s">
        <v>2598</v>
      </c>
      <c r="C25" s="396">
        <f>DATE(2008,8,18)</f>
        <v>39678</v>
      </c>
      <c r="D25" s="395" t="s">
        <v>2544</v>
      </c>
      <c r="E25" s="273" t="s">
        <v>2599</v>
      </c>
      <c r="F25" s="273" t="s">
        <v>1498</v>
      </c>
      <c r="G25" s="86"/>
      <c r="H25" s="86"/>
      <c r="I25" s="86"/>
      <c r="J25" s="86"/>
      <c r="K25" s="86"/>
      <c r="L25" s="86"/>
      <c r="M25" s="86"/>
      <c r="N25" s="86"/>
      <c r="O25" s="86"/>
      <c r="P25" s="86"/>
      <c r="Q25" s="86"/>
      <c r="R25" s="86"/>
      <c r="S25" s="86"/>
      <c r="T25" s="86"/>
      <c r="U25" s="86"/>
      <c r="V25" s="139"/>
      <c r="W25" s="86"/>
      <c r="X25" s="86"/>
      <c r="Y25" s="86"/>
      <c r="Z25" s="138"/>
    </row>
    <row r="26" spans="1:26" ht="33.75" customHeight="1">
      <c r="A26" s="273">
        <v>25</v>
      </c>
      <c r="B26" s="270" t="s">
        <v>2600</v>
      </c>
      <c r="C26" s="396">
        <f>DATE(2008,8,19)</f>
        <v>39679</v>
      </c>
      <c r="D26" s="395" t="s">
        <v>2544</v>
      </c>
      <c r="E26" s="273" t="s">
        <v>2601</v>
      </c>
      <c r="F26" s="273" t="s">
        <v>2602</v>
      </c>
      <c r="G26" s="86"/>
      <c r="H26" s="86"/>
      <c r="I26" s="86"/>
      <c r="J26" s="86"/>
      <c r="K26" s="86"/>
      <c r="L26" s="86"/>
      <c r="M26" s="86"/>
      <c r="N26" s="86"/>
      <c r="O26" s="86"/>
      <c r="P26" s="86"/>
      <c r="Q26" s="86"/>
      <c r="R26" s="86"/>
      <c r="S26" s="86"/>
      <c r="T26" s="86"/>
      <c r="U26" s="86"/>
      <c r="V26" s="139"/>
      <c r="W26" s="86"/>
      <c r="X26" s="86"/>
      <c r="Y26" s="86"/>
      <c r="Z26" s="138"/>
    </row>
    <row r="27" spans="1:26" ht="33.75" customHeight="1">
      <c r="A27" s="273">
        <v>26</v>
      </c>
      <c r="B27" s="270" t="s">
        <v>2603</v>
      </c>
      <c r="C27" s="396">
        <f>DATE(2008,9,2)</f>
        <v>39693</v>
      </c>
      <c r="D27" s="395" t="s">
        <v>2544</v>
      </c>
      <c r="E27" s="273" t="s">
        <v>2604</v>
      </c>
      <c r="F27" s="273" t="s">
        <v>2605</v>
      </c>
      <c r="G27" s="86"/>
      <c r="H27" s="86"/>
      <c r="I27" s="86"/>
      <c r="J27" s="86"/>
      <c r="K27" s="86"/>
      <c r="L27" s="86"/>
      <c r="M27" s="86"/>
      <c r="N27" s="86"/>
      <c r="O27" s="86"/>
      <c r="P27" s="86"/>
      <c r="Q27" s="86"/>
      <c r="R27" s="86"/>
      <c r="S27" s="86"/>
      <c r="T27" s="86"/>
      <c r="U27" s="86"/>
      <c r="V27" s="139"/>
      <c r="W27" s="139"/>
      <c r="X27" s="86"/>
      <c r="Y27" s="86"/>
      <c r="Z27" s="138"/>
    </row>
    <row r="28" spans="1:26" ht="33.75" customHeight="1">
      <c r="A28" s="273">
        <v>27</v>
      </c>
      <c r="B28" s="270" t="s">
        <v>2606</v>
      </c>
      <c r="C28" s="396">
        <f>DATE(2008,9,15)</f>
        <v>39706</v>
      </c>
      <c r="D28" s="395" t="s">
        <v>2544</v>
      </c>
      <c r="E28" s="273" t="s">
        <v>2607</v>
      </c>
      <c r="F28" s="273" t="s">
        <v>136</v>
      </c>
      <c r="G28" s="86"/>
      <c r="H28" s="86"/>
      <c r="I28" s="86"/>
      <c r="J28" s="86"/>
      <c r="K28" s="86"/>
      <c r="L28" s="86"/>
      <c r="M28" s="86"/>
      <c r="N28" s="86"/>
      <c r="O28" s="86"/>
      <c r="P28" s="86"/>
      <c r="Q28" s="86"/>
      <c r="R28" s="86"/>
      <c r="S28" s="86"/>
      <c r="T28" s="86"/>
      <c r="U28" s="86"/>
      <c r="V28" s="139"/>
      <c r="W28" s="139"/>
      <c r="X28" s="86"/>
      <c r="Y28" s="86"/>
      <c r="Z28" s="138"/>
    </row>
    <row r="29" spans="1:26" ht="33.75" customHeight="1">
      <c r="A29" s="273">
        <v>28</v>
      </c>
      <c r="B29" s="270" t="s">
        <v>2608</v>
      </c>
      <c r="C29" s="396">
        <f>DATE(2008,9,22)</f>
        <v>39713</v>
      </c>
      <c r="D29" s="395" t="s">
        <v>2544</v>
      </c>
      <c r="E29" s="273" t="s">
        <v>2609</v>
      </c>
      <c r="F29" s="273" t="s">
        <v>2610</v>
      </c>
      <c r="G29" s="86"/>
      <c r="H29" s="86"/>
      <c r="I29" s="86"/>
      <c r="J29" s="86"/>
      <c r="K29" s="86"/>
      <c r="L29" s="86"/>
      <c r="M29" s="86"/>
      <c r="N29" s="86"/>
      <c r="O29" s="86"/>
      <c r="P29" s="86"/>
      <c r="Q29" s="86"/>
      <c r="R29" s="86"/>
      <c r="S29" s="86"/>
      <c r="T29" s="86"/>
      <c r="U29" s="86"/>
      <c r="V29" s="139"/>
      <c r="W29" s="139"/>
      <c r="X29" s="86"/>
      <c r="Y29" s="86"/>
      <c r="Z29" s="138"/>
    </row>
    <row r="30" spans="1:26" ht="33.75" customHeight="1">
      <c r="A30" s="273">
        <v>29</v>
      </c>
      <c r="B30" s="270" t="s">
        <v>2611</v>
      </c>
      <c r="C30" s="396">
        <f>DATE(2008,9,28)</f>
        <v>39719</v>
      </c>
      <c r="D30" s="395" t="s">
        <v>2544</v>
      </c>
      <c r="E30" s="273" t="s">
        <v>2612</v>
      </c>
      <c r="F30" s="273" t="s">
        <v>2613</v>
      </c>
      <c r="G30" s="86"/>
      <c r="H30" s="86"/>
      <c r="I30" s="86"/>
      <c r="J30" s="86"/>
      <c r="K30" s="86"/>
      <c r="L30" s="86"/>
      <c r="M30" s="86"/>
      <c r="N30" s="86"/>
      <c r="O30" s="86"/>
      <c r="P30" s="86"/>
      <c r="Q30" s="86"/>
      <c r="R30" s="86"/>
      <c r="S30" s="86"/>
      <c r="T30" s="86"/>
      <c r="U30" s="86"/>
      <c r="V30" s="139"/>
      <c r="W30" s="139"/>
      <c r="X30" s="86"/>
      <c r="Y30" s="86"/>
      <c r="Z30" s="138"/>
    </row>
    <row r="31" spans="1:26" ht="33.75" customHeight="1">
      <c r="A31" s="273">
        <v>30</v>
      </c>
      <c r="B31" s="270" t="s">
        <v>2614</v>
      </c>
      <c r="C31" s="396">
        <f>DATE(2008,10,8)</f>
        <v>39729</v>
      </c>
      <c r="D31" s="395" t="s">
        <v>2544</v>
      </c>
      <c r="E31" s="273" t="s">
        <v>2615</v>
      </c>
      <c r="F31" s="273" t="s">
        <v>2616</v>
      </c>
      <c r="G31" s="86"/>
      <c r="H31" s="86"/>
      <c r="I31" s="86"/>
      <c r="J31" s="86"/>
      <c r="K31" s="86"/>
      <c r="L31" s="86"/>
      <c r="M31" s="86"/>
      <c r="N31" s="86"/>
      <c r="O31" s="86"/>
      <c r="P31" s="86"/>
      <c r="Q31" s="86"/>
      <c r="R31" s="86"/>
      <c r="S31" s="86"/>
      <c r="T31" s="86"/>
      <c r="U31" s="86"/>
      <c r="V31" s="139"/>
      <c r="W31" s="139"/>
      <c r="X31" s="86"/>
      <c r="Y31" s="86"/>
      <c r="Z31" s="138"/>
    </row>
    <row r="32" spans="1:26" ht="33.75" customHeight="1">
      <c r="A32" s="273">
        <v>31</v>
      </c>
      <c r="B32" s="270" t="s">
        <v>2617</v>
      </c>
      <c r="C32" s="396">
        <f>DATE(2008,10,13)</f>
        <v>39734</v>
      </c>
      <c r="D32" s="395" t="s">
        <v>2544</v>
      </c>
      <c r="E32" s="273" t="s">
        <v>2618</v>
      </c>
      <c r="F32" s="273" t="s">
        <v>2616</v>
      </c>
      <c r="G32" s="86"/>
      <c r="H32" s="86"/>
      <c r="I32" s="86"/>
      <c r="J32" s="86"/>
      <c r="K32" s="86"/>
      <c r="L32" s="86"/>
      <c r="M32" s="86"/>
      <c r="N32" s="86"/>
      <c r="O32" s="86"/>
      <c r="P32" s="86"/>
      <c r="Q32" s="86"/>
      <c r="R32" s="86"/>
      <c r="S32" s="86"/>
      <c r="T32" s="86"/>
      <c r="U32" s="86"/>
      <c r="V32" s="139"/>
      <c r="W32" s="139"/>
      <c r="X32" s="86"/>
      <c r="Y32" s="86"/>
      <c r="Z32" s="138"/>
    </row>
    <row r="33" spans="1:26" ht="33.75" customHeight="1">
      <c r="A33" s="273">
        <v>32</v>
      </c>
      <c r="B33" s="270" t="s">
        <v>2619</v>
      </c>
      <c r="C33" s="396">
        <f>DATE(2008,10,13)</f>
        <v>39734</v>
      </c>
      <c r="D33" s="395" t="s">
        <v>2544</v>
      </c>
      <c r="E33" s="273" t="s">
        <v>2620</v>
      </c>
      <c r="F33" s="273" t="s">
        <v>2616</v>
      </c>
      <c r="G33" s="86"/>
      <c r="H33" s="86"/>
      <c r="I33" s="86"/>
      <c r="J33" s="86"/>
      <c r="K33" s="86"/>
      <c r="L33" s="86"/>
      <c r="M33" s="86"/>
      <c r="N33" s="86"/>
      <c r="O33" s="86"/>
      <c r="P33" s="86"/>
      <c r="Q33" s="86"/>
      <c r="R33" s="86"/>
      <c r="S33" s="86"/>
      <c r="T33" s="86"/>
      <c r="U33" s="86"/>
      <c r="V33" s="139"/>
      <c r="W33" s="139"/>
      <c r="X33" s="86"/>
      <c r="Y33" s="86"/>
      <c r="Z33" s="138"/>
    </row>
    <row r="34" spans="1:26" ht="33.75" customHeight="1">
      <c r="A34" s="273">
        <v>33</v>
      </c>
      <c r="B34" s="270" t="s">
        <v>2621</v>
      </c>
      <c r="C34" s="396">
        <f>DATE(2008,10,27)</f>
        <v>39748</v>
      </c>
      <c r="D34" s="395" t="s">
        <v>2544</v>
      </c>
      <c r="E34" s="273" t="s">
        <v>2622</v>
      </c>
      <c r="F34" s="273" t="s">
        <v>2623</v>
      </c>
      <c r="G34" s="86"/>
      <c r="H34" s="86"/>
      <c r="I34" s="86"/>
      <c r="J34" s="86"/>
      <c r="K34" s="86"/>
      <c r="L34" s="86"/>
      <c r="M34" s="86"/>
      <c r="N34" s="86"/>
      <c r="O34" s="86"/>
      <c r="P34" s="86"/>
      <c r="Q34" s="86"/>
      <c r="R34" s="86"/>
      <c r="S34" s="86"/>
      <c r="T34" s="86"/>
      <c r="U34" s="86"/>
      <c r="V34" s="139"/>
      <c r="W34" s="139"/>
      <c r="X34" s="86"/>
      <c r="Y34" s="86"/>
      <c r="Z34" s="138"/>
    </row>
    <row r="35" spans="1:26" ht="33.75" customHeight="1">
      <c r="A35" s="273">
        <v>34</v>
      </c>
      <c r="B35" s="270" t="s">
        <v>2624</v>
      </c>
      <c r="C35" s="396">
        <f>DATE(2008,11,3)</f>
        <v>39755</v>
      </c>
      <c r="D35" s="395" t="s">
        <v>2544</v>
      </c>
      <c r="E35" s="273" t="s">
        <v>2625</v>
      </c>
      <c r="F35" s="273" t="s">
        <v>136</v>
      </c>
      <c r="G35" s="86"/>
      <c r="H35" s="86"/>
      <c r="I35" s="86"/>
      <c r="J35" s="86"/>
      <c r="K35" s="86"/>
      <c r="L35" s="86"/>
      <c r="M35" s="86"/>
      <c r="N35" s="86"/>
      <c r="O35" s="86"/>
      <c r="P35" s="86"/>
      <c r="Q35" s="86"/>
      <c r="R35" s="86"/>
      <c r="S35" s="86"/>
      <c r="T35" s="86"/>
      <c r="U35" s="86"/>
      <c r="V35" s="139"/>
      <c r="W35" s="139"/>
      <c r="X35" s="86"/>
      <c r="Y35" s="86"/>
      <c r="Z35" s="138"/>
    </row>
    <row r="36" spans="1:26" ht="33.75" customHeight="1">
      <c r="A36" s="273">
        <v>35</v>
      </c>
      <c r="B36" s="270" t="s">
        <v>2626</v>
      </c>
      <c r="C36" s="396">
        <f>DATE(2008,11,11)</f>
        <v>39763</v>
      </c>
      <c r="D36" s="395" t="s">
        <v>2544</v>
      </c>
      <c r="E36" s="273" t="s">
        <v>2627</v>
      </c>
      <c r="F36" s="273" t="s">
        <v>1498</v>
      </c>
      <c r="G36" s="86"/>
      <c r="H36" s="86"/>
      <c r="I36" s="86"/>
      <c r="J36" s="86"/>
      <c r="K36" s="86"/>
      <c r="L36" s="86"/>
      <c r="M36" s="86"/>
      <c r="N36" s="86"/>
      <c r="O36" s="86"/>
      <c r="P36" s="86"/>
      <c r="Q36" s="86"/>
      <c r="R36" s="86"/>
      <c r="S36" s="86"/>
      <c r="T36" s="86"/>
      <c r="U36" s="86"/>
      <c r="V36" s="139"/>
      <c r="W36" s="139"/>
      <c r="X36" s="86"/>
      <c r="Y36" s="86"/>
      <c r="Z36" s="138"/>
    </row>
    <row r="37" spans="1:26" ht="33.75" customHeight="1">
      <c r="A37" s="273">
        <v>36</v>
      </c>
      <c r="B37" s="270" t="s">
        <v>2628</v>
      </c>
      <c r="C37" s="396">
        <f>DATE(2008,11,17)</f>
        <v>39769</v>
      </c>
      <c r="D37" s="395" t="s">
        <v>2544</v>
      </c>
      <c r="E37" s="273" t="s">
        <v>2629</v>
      </c>
      <c r="F37" s="273" t="s">
        <v>1498</v>
      </c>
      <c r="G37" s="86"/>
      <c r="H37" s="86"/>
      <c r="I37" s="86"/>
      <c r="J37" s="86"/>
      <c r="K37" s="86"/>
      <c r="L37" s="86"/>
      <c r="M37" s="86"/>
      <c r="N37" s="86"/>
      <c r="O37" s="86"/>
      <c r="P37" s="86"/>
      <c r="Q37" s="86"/>
      <c r="R37" s="86"/>
      <c r="S37" s="86"/>
      <c r="T37" s="86"/>
      <c r="U37" s="86"/>
      <c r="V37" s="139"/>
      <c r="W37" s="86"/>
      <c r="X37" s="86"/>
      <c r="Y37" s="86"/>
      <c r="Z37" s="138"/>
    </row>
    <row r="38" spans="1:26" ht="33.75" customHeight="1">
      <c r="A38" s="273">
        <v>37</v>
      </c>
      <c r="B38" s="270" t="s">
        <v>2630</v>
      </c>
      <c r="C38" s="396">
        <f>DATE(2008,11,25)</f>
        <v>39777</v>
      </c>
      <c r="D38" s="395" t="s">
        <v>2544</v>
      </c>
      <c r="E38" s="273" t="s">
        <v>2631</v>
      </c>
      <c r="F38" s="273" t="s">
        <v>1498</v>
      </c>
      <c r="G38" s="86"/>
      <c r="H38" s="86"/>
      <c r="I38" s="86"/>
      <c r="J38" s="86"/>
      <c r="K38" s="86"/>
      <c r="L38" s="86"/>
      <c r="M38" s="86"/>
      <c r="N38" s="86"/>
      <c r="O38" s="86"/>
      <c r="P38" s="86"/>
      <c r="Q38" s="86"/>
      <c r="R38" s="86"/>
      <c r="S38" s="86"/>
      <c r="T38" s="86"/>
      <c r="U38" s="86"/>
      <c r="V38" s="139"/>
      <c r="W38" s="86"/>
      <c r="X38" s="86"/>
      <c r="Y38" s="86"/>
      <c r="Z38" s="138"/>
    </row>
    <row r="39" spans="1:26" ht="144">
      <c r="A39" s="273">
        <v>38</v>
      </c>
      <c r="B39" s="270" t="s">
        <v>2632</v>
      </c>
      <c r="C39" s="396">
        <f>DATE(2008,12,1)</f>
        <v>39783</v>
      </c>
      <c r="D39" s="395" t="s">
        <v>2544</v>
      </c>
      <c r="E39" s="273" t="s">
        <v>2633</v>
      </c>
      <c r="F39" s="273" t="s">
        <v>1498</v>
      </c>
      <c r="G39" s="86"/>
      <c r="H39" s="86"/>
      <c r="I39" s="86"/>
      <c r="J39" s="86"/>
      <c r="K39" s="86"/>
      <c r="L39" s="86"/>
      <c r="M39" s="86"/>
      <c r="N39" s="86"/>
      <c r="O39" s="86"/>
      <c r="P39" s="86"/>
      <c r="Q39" s="86"/>
      <c r="R39" s="86"/>
      <c r="S39" s="86"/>
      <c r="T39" s="86"/>
      <c r="U39" s="86"/>
      <c r="V39" s="139"/>
      <c r="W39" s="139"/>
      <c r="X39" s="86"/>
      <c r="Y39" s="86"/>
      <c r="Z39" s="138"/>
    </row>
    <row r="40" spans="1:26" ht="115.2">
      <c r="A40" s="273">
        <v>39</v>
      </c>
      <c r="B40" s="270" t="s">
        <v>2632</v>
      </c>
      <c r="C40" s="396">
        <f>DATE(2008,12,8)</f>
        <v>39790</v>
      </c>
      <c r="D40" s="395" t="s">
        <v>2544</v>
      </c>
      <c r="E40" s="273" t="s">
        <v>2634</v>
      </c>
      <c r="F40" s="273" t="s">
        <v>2635</v>
      </c>
      <c r="G40" s="86"/>
      <c r="H40" s="86"/>
      <c r="I40" s="86"/>
      <c r="J40" s="86"/>
      <c r="K40" s="86"/>
      <c r="L40" s="86"/>
      <c r="M40" s="86"/>
      <c r="N40" s="86"/>
      <c r="O40" s="86"/>
      <c r="P40" s="86"/>
      <c r="Q40" s="86"/>
      <c r="R40" s="86"/>
      <c r="S40" s="86"/>
      <c r="T40" s="86"/>
      <c r="U40" s="86"/>
      <c r="V40" s="139"/>
      <c r="W40" s="139"/>
      <c r="X40" s="86"/>
      <c r="Y40" s="86"/>
      <c r="Z40" s="138"/>
    </row>
    <row r="41" spans="1:26" ht="144">
      <c r="A41" s="273">
        <v>40</v>
      </c>
      <c r="B41" s="270" t="s">
        <v>2636</v>
      </c>
      <c r="C41" s="396">
        <f>DATE(2008,12,15)</f>
        <v>39797</v>
      </c>
      <c r="D41" s="395" t="s">
        <v>2544</v>
      </c>
      <c r="E41" s="273" t="s">
        <v>2637</v>
      </c>
      <c r="F41" s="273" t="s">
        <v>2638</v>
      </c>
      <c r="G41" s="86"/>
      <c r="H41" s="86"/>
      <c r="I41" s="86"/>
      <c r="J41" s="86"/>
      <c r="K41" s="86"/>
      <c r="L41" s="86"/>
      <c r="M41" s="86"/>
      <c r="N41" s="86"/>
      <c r="O41" s="86"/>
      <c r="P41" s="86"/>
      <c r="Q41" s="86"/>
      <c r="R41" s="86"/>
      <c r="S41" s="86"/>
      <c r="T41" s="86"/>
      <c r="U41" s="86"/>
      <c r="V41" s="139"/>
      <c r="W41" s="86"/>
      <c r="X41" s="86"/>
      <c r="Y41" s="86"/>
      <c r="Z41" s="138"/>
    </row>
    <row r="42" spans="1:26" ht="129.6">
      <c r="A42" s="273">
        <v>41</v>
      </c>
      <c r="B42" s="270" t="s">
        <v>2639</v>
      </c>
      <c r="C42" s="396">
        <f>DATE(2008,12,22)</f>
        <v>39804</v>
      </c>
      <c r="D42" s="395" t="s">
        <v>2544</v>
      </c>
      <c r="E42" s="273" t="s">
        <v>2640</v>
      </c>
      <c r="F42" s="273" t="s">
        <v>2635</v>
      </c>
      <c r="G42" s="86"/>
      <c r="H42" s="86"/>
      <c r="I42" s="86"/>
      <c r="J42" s="86"/>
      <c r="K42" s="86"/>
      <c r="L42" s="86"/>
      <c r="M42" s="86"/>
      <c r="N42" s="86"/>
      <c r="O42" s="86"/>
      <c r="P42" s="86"/>
      <c r="Q42" s="86"/>
      <c r="R42" s="86"/>
      <c r="S42" s="86"/>
      <c r="T42" s="86"/>
      <c r="U42" s="86"/>
      <c r="V42" s="139"/>
      <c r="W42" s="86"/>
      <c r="X42" s="86"/>
      <c r="Y42" s="86"/>
      <c r="Z42" s="138"/>
    </row>
    <row r="43" spans="1:26" ht="33.75" customHeight="1">
      <c r="A43" s="273">
        <v>42</v>
      </c>
      <c r="B43" s="270" t="s">
        <v>2641</v>
      </c>
      <c r="C43" s="396">
        <f>DATE(2008,12,29)</f>
        <v>39811</v>
      </c>
      <c r="D43" s="395" t="s">
        <v>2544</v>
      </c>
      <c r="E43" s="273" t="s">
        <v>2642</v>
      </c>
      <c r="F43" s="273" t="s">
        <v>2635</v>
      </c>
      <c r="G43" s="86"/>
      <c r="H43" s="86"/>
      <c r="I43" s="86"/>
      <c r="J43" s="86"/>
      <c r="K43" s="86"/>
      <c r="L43" s="86"/>
      <c r="M43" s="86"/>
      <c r="N43" s="86"/>
      <c r="O43" s="86"/>
      <c r="P43" s="86"/>
      <c r="Q43" s="86"/>
      <c r="R43" s="86"/>
      <c r="S43" s="86"/>
      <c r="T43" s="86"/>
      <c r="U43" s="86"/>
      <c r="V43" s="139"/>
      <c r="W43" s="86"/>
      <c r="X43" s="86"/>
      <c r="Y43" s="86"/>
      <c r="Z43" s="138"/>
    </row>
    <row r="44" spans="1:26" ht="33.75" customHeight="1">
      <c r="A44" s="273">
        <v>43</v>
      </c>
      <c r="B44" s="270" t="s">
        <v>2643</v>
      </c>
      <c r="C44" s="396">
        <f>DATE(2009,1,5)</f>
        <v>39818</v>
      </c>
      <c r="D44" s="395" t="s">
        <v>2544</v>
      </c>
      <c r="E44" s="273" t="s">
        <v>2644</v>
      </c>
      <c r="F44" s="273" t="s">
        <v>2638</v>
      </c>
      <c r="G44" s="86"/>
      <c r="H44" s="86"/>
      <c r="I44" s="86"/>
      <c r="J44" s="86"/>
      <c r="K44" s="86"/>
      <c r="L44" s="86"/>
      <c r="M44" s="86"/>
      <c r="N44" s="86"/>
      <c r="O44" s="86"/>
      <c r="P44" s="86"/>
      <c r="Q44" s="86"/>
      <c r="R44" s="86"/>
      <c r="S44" s="86"/>
      <c r="T44" s="86"/>
      <c r="U44" s="86"/>
      <c r="V44" s="139"/>
      <c r="W44" s="86"/>
      <c r="X44" s="86"/>
      <c r="Y44" s="86"/>
      <c r="Z44" s="138"/>
    </row>
    <row r="45" spans="1:26" ht="33.75" customHeight="1">
      <c r="A45" s="273">
        <v>44</v>
      </c>
      <c r="B45" s="270" t="s">
        <v>2645</v>
      </c>
      <c r="C45" s="396">
        <f t="shared" ref="C45" si="0">DATE(2009,1,5)</f>
        <v>39818</v>
      </c>
      <c r="D45" s="395" t="s">
        <v>2544</v>
      </c>
      <c r="E45" s="273" t="s">
        <v>2646</v>
      </c>
      <c r="F45" s="273" t="s">
        <v>2638</v>
      </c>
      <c r="G45" s="86"/>
      <c r="H45" s="86"/>
      <c r="I45" s="86"/>
      <c r="J45" s="86"/>
      <c r="K45" s="86"/>
      <c r="L45" s="86"/>
      <c r="M45" s="86"/>
      <c r="N45" s="86"/>
      <c r="O45" s="86"/>
      <c r="P45" s="86"/>
      <c r="Q45" s="86"/>
      <c r="R45" s="86"/>
      <c r="S45" s="86"/>
      <c r="T45" s="86"/>
      <c r="U45" s="86"/>
      <c r="V45" s="139"/>
      <c r="W45" s="86"/>
      <c r="X45" s="86"/>
      <c r="Y45" s="86"/>
      <c r="Z45" s="138"/>
    </row>
    <row r="46" spans="1:26" ht="33.75" customHeight="1">
      <c r="A46" s="273">
        <v>45</v>
      </c>
      <c r="B46" s="270" t="s">
        <v>2647</v>
      </c>
      <c r="C46" s="396">
        <f>DATE(2009,1,12)</f>
        <v>39825</v>
      </c>
      <c r="D46" s="395" t="s">
        <v>2544</v>
      </c>
      <c r="E46" s="273" t="s">
        <v>2648</v>
      </c>
      <c r="F46" s="273" t="s">
        <v>2638</v>
      </c>
      <c r="G46" s="86"/>
      <c r="H46" s="86"/>
      <c r="I46" s="86"/>
      <c r="J46" s="86"/>
      <c r="K46" s="86"/>
      <c r="L46" s="86"/>
      <c r="M46" s="86"/>
      <c r="N46" s="86"/>
      <c r="O46" s="86"/>
      <c r="P46" s="86"/>
      <c r="Q46" s="86"/>
      <c r="R46" s="86"/>
      <c r="S46" s="86"/>
      <c r="T46" s="86"/>
      <c r="U46" s="86"/>
      <c r="V46" s="139"/>
      <c r="W46" s="86"/>
      <c r="X46" s="86"/>
      <c r="Y46" s="86"/>
      <c r="Z46" s="138"/>
    </row>
    <row r="47" spans="1:26" ht="33.75" customHeight="1">
      <c r="A47" s="273">
        <v>46</v>
      </c>
      <c r="B47" s="270" t="s">
        <v>2649</v>
      </c>
      <c r="C47" s="396">
        <f>DATE(2009,1,19)</f>
        <v>39832</v>
      </c>
      <c r="D47" s="395" t="s">
        <v>2544</v>
      </c>
      <c r="E47" s="273" t="s">
        <v>2650</v>
      </c>
      <c r="F47" s="273" t="s">
        <v>1766</v>
      </c>
      <c r="G47" s="86"/>
      <c r="H47" s="86"/>
      <c r="I47" s="86"/>
      <c r="J47" s="86"/>
      <c r="K47" s="86"/>
      <c r="L47" s="86"/>
      <c r="M47" s="86"/>
      <c r="N47" s="86"/>
      <c r="O47" s="86"/>
      <c r="P47" s="86"/>
      <c r="Q47" s="86"/>
      <c r="R47" s="86"/>
      <c r="S47" s="86"/>
      <c r="T47" s="86"/>
      <c r="U47" s="86"/>
      <c r="V47" s="139"/>
      <c r="W47" s="86"/>
      <c r="X47" s="86"/>
      <c r="Y47" s="86"/>
      <c r="Z47" s="138"/>
    </row>
    <row r="48" spans="1:26" ht="33.75" customHeight="1">
      <c r="A48" s="273">
        <v>47</v>
      </c>
      <c r="B48" s="270" t="s">
        <v>2651</v>
      </c>
      <c r="C48" s="396">
        <f>DATE(2009,1,28)</f>
        <v>39841</v>
      </c>
      <c r="D48" s="395" t="s">
        <v>2544</v>
      </c>
      <c r="E48" s="273" t="s">
        <v>2652</v>
      </c>
      <c r="F48" s="273" t="s">
        <v>2653</v>
      </c>
      <c r="G48" s="86"/>
      <c r="H48" s="86"/>
      <c r="I48" s="86"/>
      <c r="J48" s="86"/>
      <c r="K48" s="86"/>
      <c r="L48" s="86"/>
      <c r="M48" s="86"/>
      <c r="N48" s="86"/>
      <c r="O48" s="86"/>
      <c r="P48" s="86"/>
      <c r="Q48" s="86"/>
      <c r="R48" s="86"/>
      <c r="S48" s="86"/>
      <c r="T48" s="86"/>
      <c r="U48" s="86"/>
      <c r="V48" s="139"/>
      <c r="W48" s="86"/>
      <c r="X48" s="86"/>
      <c r="Y48" s="86"/>
      <c r="Z48" s="138"/>
    </row>
    <row r="49" spans="1:26" ht="33.75" customHeight="1">
      <c r="A49" s="273">
        <v>48</v>
      </c>
      <c r="B49" s="270" t="s">
        <v>2654</v>
      </c>
      <c r="C49" s="396">
        <f>DATE(2009,2,4)</f>
        <v>39848</v>
      </c>
      <c r="D49" s="395" t="s">
        <v>2544</v>
      </c>
      <c r="E49" s="273" t="s">
        <v>2655</v>
      </c>
      <c r="F49" s="273" t="s">
        <v>2656</v>
      </c>
      <c r="G49" s="86"/>
      <c r="H49" s="86"/>
      <c r="I49" s="86"/>
      <c r="J49" s="86"/>
      <c r="K49" s="86"/>
      <c r="L49" s="86"/>
      <c r="M49" s="86"/>
      <c r="N49" s="86"/>
      <c r="O49" s="86"/>
      <c r="P49" s="86"/>
      <c r="Q49" s="86"/>
      <c r="R49" s="86"/>
      <c r="S49" s="86"/>
      <c r="T49" s="86"/>
      <c r="U49" s="86"/>
      <c r="V49" s="139"/>
      <c r="W49" s="86"/>
      <c r="X49" s="86"/>
      <c r="Y49" s="86"/>
      <c r="Z49" s="138"/>
    </row>
    <row r="50" spans="1:26" ht="33.75" customHeight="1">
      <c r="A50" s="273">
        <v>49</v>
      </c>
      <c r="B50" s="270" t="s">
        <v>2657</v>
      </c>
      <c r="C50" s="396">
        <f>DATE(2009,2,9)</f>
        <v>39853</v>
      </c>
      <c r="D50" s="395" t="s">
        <v>2544</v>
      </c>
      <c r="E50" s="273" t="s">
        <v>2658</v>
      </c>
      <c r="F50" s="273" t="s">
        <v>2659</v>
      </c>
      <c r="G50" s="86"/>
      <c r="H50" s="86"/>
      <c r="I50" s="86"/>
      <c r="J50" s="86"/>
      <c r="K50" s="86"/>
      <c r="L50" s="86"/>
      <c r="M50" s="86"/>
      <c r="N50" s="86"/>
      <c r="O50" s="86"/>
      <c r="P50" s="86"/>
      <c r="Q50" s="86"/>
      <c r="R50" s="86"/>
      <c r="S50" s="86"/>
      <c r="T50" s="86"/>
      <c r="U50" s="86"/>
      <c r="V50" s="139"/>
      <c r="W50" s="139"/>
      <c r="X50" s="86"/>
      <c r="Y50" s="86"/>
      <c r="Z50" s="138"/>
    </row>
    <row r="51" spans="1:26" ht="33.75" customHeight="1">
      <c r="A51" s="273">
        <v>50</v>
      </c>
      <c r="B51" s="270" t="s">
        <v>2660</v>
      </c>
      <c r="C51" s="396">
        <f>DATE(2009,2,16)</f>
        <v>39860</v>
      </c>
      <c r="D51" s="395" t="s">
        <v>2544</v>
      </c>
      <c r="E51" s="273" t="s">
        <v>2661</v>
      </c>
      <c r="F51" s="273" t="s">
        <v>2662</v>
      </c>
      <c r="G51" s="86"/>
      <c r="H51" s="86"/>
      <c r="I51" s="86"/>
      <c r="J51" s="86"/>
      <c r="K51" s="86"/>
      <c r="L51" s="86"/>
      <c r="M51" s="86"/>
      <c r="N51" s="86"/>
      <c r="O51" s="86"/>
      <c r="P51" s="86"/>
      <c r="Q51" s="86"/>
      <c r="R51" s="86"/>
      <c r="S51" s="86"/>
      <c r="T51" s="86"/>
      <c r="U51" s="86"/>
      <c r="V51" s="139"/>
      <c r="W51" s="139"/>
      <c r="X51" s="86"/>
      <c r="Y51" s="86"/>
      <c r="Z51" s="138"/>
    </row>
    <row r="52" spans="1:26" ht="33.75" customHeight="1">
      <c r="A52" s="273">
        <v>51</v>
      </c>
      <c r="B52" s="270" t="s">
        <v>2663</v>
      </c>
      <c r="C52" s="396">
        <f>DATE(2009,3,2)</f>
        <v>39874</v>
      </c>
      <c r="D52" s="395" t="s">
        <v>2544</v>
      </c>
      <c r="E52" s="273" t="s">
        <v>2664</v>
      </c>
      <c r="F52" s="273" t="s">
        <v>2665</v>
      </c>
      <c r="G52" s="86"/>
      <c r="H52" s="86"/>
      <c r="I52" s="86"/>
      <c r="J52" s="86"/>
      <c r="K52" s="86"/>
      <c r="L52" s="86"/>
      <c r="M52" s="86"/>
      <c r="N52" s="86"/>
      <c r="O52" s="86"/>
      <c r="P52" s="86"/>
      <c r="Q52" s="86"/>
      <c r="R52" s="86"/>
      <c r="S52" s="86"/>
      <c r="T52" s="86"/>
      <c r="U52" s="86"/>
      <c r="V52" s="139"/>
      <c r="W52" s="139"/>
      <c r="X52" s="86"/>
      <c r="Y52" s="86"/>
      <c r="Z52" s="138"/>
    </row>
    <row r="53" spans="1:26" ht="33.75" customHeight="1">
      <c r="A53" s="273">
        <v>52</v>
      </c>
      <c r="B53" s="270" t="s">
        <v>2666</v>
      </c>
      <c r="C53" s="396">
        <f>DATE(2009,3,4)</f>
        <v>39876</v>
      </c>
      <c r="D53" s="395" t="s">
        <v>2544</v>
      </c>
      <c r="E53" s="273" t="s">
        <v>2667</v>
      </c>
      <c r="F53" s="273" t="s">
        <v>2668</v>
      </c>
      <c r="G53" s="86"/>
      <c r="H53" s="86"/>
      <c r="I53" s="86"/>
      <c r="J53" s="86"/>
      <c r="K53" s="86"/>
      <c r="L53" s="86"/>
      <c r="M53" s="86"/>
      <c r="N53" s="86"/>
      <c r="O53" s="86"/>
      <c r="P53" s="86"/>
      <c r="Q53" s="86"/>
      <c r="R53" s="86"/>
      <c r="S53" s="86"/>
      <c r="T53" s="86"/>
      <c r="U53" s="86"/>
      <c r="V53" s="139"/>
      <c r="W53" s="86"/>
      <c r="X53" s="86"/>
      <c r="Y53" s="86"/>
      <c r="Z53" s="138"/>
    </row>
    <row r="54" spans="1:26" ht="33.75" customHeight="1">
      <c r="A54" s="273">
        <v>53</v>
      </c>
      <c r="B54" s="270" t="s">
        <v>2669</v>
      </c>
      <c r="C54" s="396">
        <f>DATE(2009,3,9)</f>
        <v>39881</v>
      </c>
      <c r="D54" s="395" t="s">
        <v>2544</v>
      </c>
      <c r="E54" s="273" t="s">
        <v>2670</v>
      </c>
      <c r="F54" s="273" t="s">
        <v>2671</v>
      </c>
      <c r="G54" s="86"/>
      <c r="H54" s="86"/>
      <c r="I54" s="86"/>
      <c r="J54" s="86"/>
      <c r="K54" s="86"/>
      <c r="L54" s="86"/>
      <c r="M54" s="86"/>
      <c r="N54" s="86"/>
      <c r="O54" s="86"/>
      <c r="P54" s="86"/>
      <c r="Q54" s="86"/>
      <c r="R54" s="86"/>
      <c r="S54" s="86"/>
      <c r="T54" s="86"/>
      <c r="U54" s="86"/>
      <c r="V54" s="139"/>
      <c r="W54" s="139"/>
      <c r="X54" s="86"/>
      <c r="Y54" s="86"/>
      <c r="Z54" s="138"/>
    </row>
    <row r="55" spans="1:26" ht="33.75" customHeight="1">
      <c r="A55" s="273">
        <v>54</v>
      </c>
      <c r="B55" s="270" t="s">
        <v>2672</v>
      </c>
      <c r="C55" s="396">
        <f>DATE(2009,3,16)</f>
        <v>39888</v>
      </c>
      <c r="D55" s="395" t="s">
        <v>2544</v>
      </c>
      <c r="E55" s="273" t="s">
        <v>2673</v>
      </c>
      <c r="F55" s="273" t="s">
        <v>2671</v>
      </c>
      <c r="G55" s="86"/>
      <c r="H55" s="86"/>
      <c r="I55" s="86"/>
      <c r="J55" s="86"/>
      <c r="K55" s="86"/>
      <c r="L55" s="86"/>
      <c r="M55" s="86"/>
      <c r="N55" s="86"/>
      <c r="O55" s="86"/>
      <c r="P55" s="86"/>
      <c r="Q55" s="86"/>
      <c r="R55" s="86"/>
      <c r="S55" s="86"/>
      <c r="T55" s="86"/>
      <c r="U55" s="86"/>
      <c r="V55" s="139"/>
      <c r="W55" s="139"/>
      <c r="X55" s="86"/>
      <c r="Y55" s="86"/>
      <c r="Z55" s="138"/>
    </row>
    <row r="56" spans="1:26" ht="33.75" customHeight="1">
      <c r="A56" s="273">
        <v>55</v>
      </c>
      <c r="B56" s="270" t="s">
        <v>2674</v>
      </c>
      <c r="C56" s="396">
        <f>DATE(2009,3,24)</f>
        <v>39896</v>
      </c>
      <c r="D56" s="395" t="s">
        <v>2544</v>
      </c>
      <c r="E56" s="273" t="s">
        <v>2675</v>
      </c>
      <c r="F56" s="273" t="s">
        <v>2671</v>
      </c>
      <c r="G56" s="86"/>
      <c r="H56" s="86"/>
      <c r="I56" s="86"/>
      <c r="J56" s="86"/>
      <c r="K56" s="86"/>
      <c r="L56" s="86"/>
      <c r="M56" s="86"/>
      <c r="N56" s="86"/>
      <c r="O56" s="86"/>
      <c r="P56" s="86"/>
      <c r="Q56" s="86"/>
      <c r="R56" s="86"/>
      <c r="S56" s="86"/>
      <c r="T56" s="86"/>
      <c r="U56" s="86"/>
      <c r="V56" s="139"/>
      <c r="W56" s="139"/>
      <c r="X56" s="86"/>
      <c r="Y56" s="86"/>
      <c r="Z56" s="138"/>
    </row>
    <row r="57" spans="1:26" ht="33.75" customHeight="1">
      <c r="A57" s="273">
        <v>56</v>
      </c>
      <c r="B57" s="270" t="s">
        <v>2676</v>
      </c>
      <c r="C57" s="396">
        <f>DATE(2009,3,30)</f>
        <v>39902</v>
      </c>
      <c r="D57" s="395" t="s">
        <v>2544</v>
      </c>
      <c r="E57" s="273" t="s">
        <v>2677</v>
      </c>
      <c r="F57" s="273" t="s">
        <v>2671</v>
      </c>
      <c r="G57" s="86"/>
      <c r="H57" s="86"/>
      <c r="I57" s="86"/>
      <c r="J57" s="86"/>
      <c r="K57" s="86"/>
      <c r="L57" s="86"/>
      <c r="M57" s="86"/>
      <c r="N57" s="86"/>
      <c r="O57" s="86"/>
      <c r="P57" s="86"/>
      <c r="Q57" s="86"/>
      <c r="R57" s="86"/>
      <c r="S57" s="86"/>
      <c r="T57" s="86"/>
      <c r="U57" s="86"/>
      <c r="V57" s="139"/>
      <c r="W57" s="139"/>
      <c r="X57" s="86"/>
      <c r="Y57" s="86"/>
      <c r="Z57" s="138"/>
    </row>
    <row r="58" spans="1:26" ht="33.75" customHeight="1">
      <c r="A58" s="273">
        <v>57</v>
      </c>
      <c r="B58" s="270" t="s">
        <v>2678</v>
      </c>
      <c r="C58" s="396">
        <f>DATE(2009,4,6)</f>
        <v>39909</v>
      </c>
      <c r="D58" s="395" t="s">
        <v>2544</v>
      </c>
      <c r="E58" s="273" t="s">
        <v>2679</v>
      </c>
      <c r="F58" s="273" t="s">
        <v>2671</v>
      </c>
      <c r="G58" s="86"/>
      <c r="H58" s="86"/>
      <c r="I58" s="86"/>
      <c r="J58" s="86"/>
      <c r="K58" s="86"/>
      <c r="L58" s="86"/>
      <c r="M58" s="86"/>
      <c r="N58" s="86"/>
      <c r="O58" s="86"/>
      <c r="P58" s="86"/>
      <c r="Q58" s="86"/>
      <c r="R58" s="86"/>
      <c r="S58" s="86"/>
      <c r="T58" s="86"/>
      <c r="U58" s="86"/>
      <c r="V58" s="139"/>
      <c r="W58" s="139"/>
      <c r="X58" s="86"/>
      <c r="Y58" s="86"/>
      <c r="Z58" s="138"/>
    </row>
    <row r="59" spans="1:26" ht="33.75" customHeight="1">
      <c r="A59" s="273">
        <v>58</v>
      </c>
      <c r="B59" s="270" t="s">
        <v>2680</v>
      </c>
      <c r="C59" s="396">
        <f>DATE(2009,4,13)</f>
        <v>39916</v>
      </c>
      <c r="D59" s="395" t="s">
        <v>2544</v>
      </c>
      <c r="E59" s="273" t="s">
        <v>2681</v>
      </c>
      <c r="F59" s="273" t="s">
        <v>2671</v>
      </c>
      <c r="G59" s="86"/>
      <c r="H59" s="86"/>
      <c r="I59" s="86"/>
      <c r="J59" s="86"/>
      <c r="K59" s="86"/>
      <c r="L59" s="86"/>
      <c r="M59" s="86"/>
      <c r="N59" s="86"/>
      <c r="O59" s="86"/>
      <c r="P59" s="86"/>
      <c r="Q59" s="86"/>
      <c r="R59" s="86"/>
      <c r="S59" s="86"/>
      <c r="T59" s="86"/>
      <c r="U59" s="86"/>
      <c r="V59" s="139"/>
      <c r="W59" s="139"/>
      <c r="X59" s="86"/>
      <c r="Y59" s="86"/>
      <c r="Z59" s="138"/>
    </row>
    <row r="60" spans="1:26" ht="33.75" customHeight="1">
      <c r="A60" s="273">
        <v>59</v>
      </c>
      <c r="B60" s="270" t="s">
        <v>2682</v>
      </c>
      <c r="C60" s="396">
        <f>DATE(2009,4,21)</f>
        <v>39924</v>
      </c>
      <c r="D60" s="395" t="s">
        <v>2544</v>
      </c>
      <c r="E60" s="273" t="s">
        <v>2683</v>
      </c>
      <c r="F60" s="273" t="s">
        <v>2684</v>
      </c>
      <c r="G60" s="86"/>
      <c r="H60" s="86"/>
      <c r="I60" s="86"/>
      <c r="J60" s="86"/>
      <c r="K60" s="86"/>
      <c r="L60" s="86"/>
      <c r="M60" s="86"/>
      <c r="N60" s="86"/>
      <c r="O60" s="86"/>
      <c r="P60" s="86"/>
      <c r="Q60" s="86"/>
      <c r="R60" s="86"/>
      <c r="S60" s="86"/>
      <c r="T60" s="86"/>
      <c r="U60" s="86"/>
      <c r="V60" s="139"/>
      <c r="W60" s="139"/>
      <c r="X60" s="86"/>
      <c r="Y60" s="86"/>
      <c r="Z60" s="138"/>
    </row>
    <row r="61" spans="1:26" ht="33.75" customHeight="1">
      <c r="A61" s="273">
        <v>60</v>
      </c>
      <c r="B61" s="270" t="s">
        <v>2685</v>
      </c>
      <c r="C61" s="396">
        <f>DATE(2009,4,27)</f>
        <v>39930</v>
      </c>
      <c r="D61" s="395" t="s">
        <v>2544</v>
      </c>
      <c r="E61" s="273" t="s">
        <v>2686</v>
      </c>
      <c r="F61" s="273" t="s">
        <v>2684</v>
      </c>
      <c r="G61" s="86"/>
      <c r="H61" s="86"/>
      <c r="I61" s="86"/>
      <c r="J61" s="86"/>
      <c r="K61" s="86"/>
      <c r="L61" s="86"/>
      <c r="M61" s="86"/>
      <c r="N61" s="86"/>
      <c r="O61" s="86"/>
      <c r="P61" s="86"/>
      <c r="Q61" s="86"/>
      <c r="R61" s="86"/>
      <c r="S61" s="86"/>
      <c r="T61" s="86"/>
      <c r="U61" s="86"/>
      <c r="V61" s="139"/>
      <c r="W61" s="139"/>
      <c r="X61" s="86"/>
      <c r="Y61" s="86"/>
      <c r="Z61" s="138"/>
    </row>
    <row r="62" spans="1:26" ht="33.75" customHeight="1">
      <c r="A62" s="273">
        <v>61</v>
      </c>
      <c r="B62" s="270" t="s">
        <v>2687</v>
      </c>
      <c r="C62" s="396">
        <f>DATE(2009,5,18)</f>
        <v>39951</v>
      </c>
      <c r="D62" s="395" t="s">
        <v>2544</v>
      </c>
      <c r="E62" s="273" t="s">
        <v>2688</v>
      </c>
      <c r="F62" s="273" t="s">
        <v>2689</v>
      </c>
      <c r="G62" s="86"/>
      <c r="H62" s="86"/>
      <c r="I62" s="86"/>
      <c r="J62" s="86"/>
      <c r="K62" s="86"/>
      <c r="L62" s="86"/>
      <c r="M62" s="86"/>
      <c r="N62" s="86"/>
      <c r="O62" s="86"/>
      <c r="P62" s="86"/>
      <c r="Q62" s="86"/>
      <c r="R62" s="86"/>
      <c r="S62" s="86"/>
      <c r="T62" s="86"/>
      <c r="U62" s="86"/>
      <c r="V62" s="86"/>
      <c r="W62" s="86"/>
      <c r="X62" s="86"/>
      <c r="Y62" s="86"/>
      <c r="Z62" s="138"/>
    </row>
    <row r="63" spans="1:26" ht="33.75" customHeight="1">
      <c r="A63" s="273">
        <v>62</v>
      </c>
      <c r="B63" s="270" t="s">
        <v>2690</v>
      </c>
      <c r="C63" s="397">
        <v>39959</v>
      </c>
      <c r="D63" s="395" t="s">
        <v>2544</v>
      </c>
      <c r="E63" s="273" t="s">
        <v>2691</v>
      </c>
      <c r="F63" s="273" t="s">
        <v>2689</v>
      </c>
      <c r="G63" s="86"/>
      <c r="H63" s="86"/>
      <c r="I63" s="86"/>
      <c r="J63" s="86"/>
      <c r="K63" s="86"/>
      <c r="L63" s="86"/>
      <c r="M63" s="86"/>
      <c r="N63" s="86"/>
      <c r="O63" s="86"/>
      <c r="P63" s="86"/>
      <c r="Q63" s="86"/>
      <c r="R63" s="86"/>
      <c r="S63" s="86"/>
      <c r="T63" s="86"/>
      <c r="U63" s="86"/>
      <c r="V63" s="86"/>
      <c r="W63" s="86"/>
      <c r="X63" s="86"/>
      <c r="Y63" s="86"/>
      <c r="Z63" s="138"/>
    </row>
    <row r="64" spans="1:26" ht="33.75" customHeight="1">
      <c r="A64" s="273">
        <v>63</v>
      </c>
      <c r="B64" s="270" t="s">
        <v>2692</v>
      </c>
      <c r="C64" s="397">
        <v>39961</v>
      </c>
      <c r="D64" s="395" t="s">
        <v>2544</v>
      </c>
      <c r="E64" s="273" t="s">
        <v>2693</v>
      </c>
      <c r="F64" s="273" t="s">
        <v>2689</v>
      </c>
      <c r="G64" s="86"/>
      <c r="H64" s="86"/>
      <c r="I64" s="86"/>
      <c r="J64" s="86"/>
      <c r="K64" s="86"/>
      <c r="L64" s="86"/>
      <c r="M64" s="86"/>
      <c r="N64" s="86"/>
      <c r="O64" s="86"/>
      <c r="P64" s="86"/>
      <c r="Q64" s="86"/>
      <c r="R64" s="86"/>
      <c r="S64" s="86"/>
      <c r="T64" s="86"/>
      <c r="U64" s="86"/>
      <c r="V64" s="86"/>
      <c r="W64" s="86"/>
      <c r="X64" s="86"/>
      <c r="Y64" s="86"/>
      <c r="Z64" s="138"/>
    </row>
    <row r="65" spans="1:26" ht="33.75" customHeight="1">
      <c r="A65" s="273">
        <v>64</v>
      </c>
      <c r="B65" s="270" t="s">
        <v>2694</v>
      </c>
      <c r="C65" s="396">
        <f>DATE(2009,6,1)</f>
        <v>39965</v>
      </c>
      <c r="D65" s="395" t="s">
        <v>2544</v>
      </c>
      <c r="E65" s="273" t="s">
        <v>2695</v>
      </c>
      <c r="F65" s="273" t="s">
        <v>2689</v>
      </c>
      <c r="G65" s="86"/>
      <c r="H65" s="86"/>
      <c r="I65" s="86"/>
      <c r="J65" s="86"/>
      <c r="K65" s="86"/>
      <c r="L65" s="86"/>
      <c r="M65" s="86"/>
      <c r="N65" s="86"/>
      <c r="O65" s="86"/>
      <c r="P65" s="86"/>
      <c r="Q65" s="86"/>
      <c r="R65" s="86"/>
      <c r="S65" s="86"/>
      <c r="T65" s="86"/>
      <c r="U65" s="86"/>
      <c r="V65" s="86"/>
      <c r="W65" s="86"/>
      <c r="X65" s="86"/>
      <c r="Y65" s="86"/>
      <c r="Z65" s="138"/>
    </row>
    <row r="66" spans="1:26" ht="33.75" customHeight="1">
      <c r="A66" s="273">
        <v>65</v>
      </c>
      <c r="B66" s="270" t="s">
        <v>2696</v>
      </c>
      <c r="C66" s="396">
        <f>DATE(2009,6,9)</f>
        <v>39973</v>
      </c>
      <c r="D66" s="395" t="s">
        <v>2544</v>
      </c>
      <c r="E66" s="273" t="s">
        <v>2697</v>
      </c>
      <c r="F66" s="273" t="s">
        <v>2698</v>
      </c>
      <c r="G66" s="86"/>
      <c r="H66" s="86"/>
      <c r="I66" s="86"/>
      <c r="J66" s="86"/>
      <c r="K66" s="86"/>
      <c r="L66" s="86"/>
      <c r="M66" s="86"/>
      <c r="N66" s="86"/>
      <c r="O66" s="86"/>
      <c r="P66" s="86"/>
      <c r="Q66" s="86"/>
      <c r="R66" s="86"/>
      <c r="S66" s="86"/>
      <c r="T66" s="86"/>
      <c r="U66" s="86"/>
      <c r="V66" s="86"/>
      <c r="W66" s="86"/>
      <c r="X66" s="86"/>
      <c r="Y66" s="86"/>
      <c r="Z66" s="138"/>
    </row>
    <row r="67" spans="1:26" ht="33.75" customHeight="1">
      <c r="A67" s="273">
        <v>66</v>
      </c>
      <c r="B67" s="270" t="s">
        <v>2699</v>
      </c>
      <c r="C67" s="396">
        <f>DATE(2009,8,19)</f>
        <v>40044</v>
      </c>
      <c r="D67" s="395" t="s">
        <v>2544</v>
      </c>
      <c r="E67" s="273" t="s">
        <v>2700</v>
      </c>
      <c r="F67" s="273" t="s">
        <v>2701</v>
      </c>
      <c r="G67" s="86"/>
      <c r="H67" s="86"/>
      <c r="I67" s="86"/>
      <c r="J67" s="86"/>
      <c r="K67" s="86"/>
      <c r="L67" s="86"/>
      <c r="M67" s="86"/>
      <c r="N67" s="86"/>
      <c r="O67" s="86"/>
      <c r="P67" s="86"/>
      <c r="Q67" s="86"/>
      <c r="R67" s="86"/>
      <c r="S67" s="86"/>
      <c r="T67" s="86"/>
      <c r="U67" s="86"/>
      <c r="V67" s="139"/>
      <c r="W67" s="86"/>
      <c r="X67" s="86"/>
      <c r="Y67" s="86"/>
      <c r="Z67" s="138"/>
    </row>
    <row r="68" spans="1:26" ht="33.75" customHeight="1">
      <c r="A68" s="273">
        <v>67</v>
      </c>
      <c r="B68" s="270" t="s">
        <v>2702</v>
      </c>
      <c r="C68" s="396">
        <f>DATE(2009,10,13)</f>
        <v>40099</v>
      </c>
      <c r="D68" s="395" t="s">
        <v>2544</v>
      </c>
      <c r="E68" s="273" t="s">
        <v>2703</v>
      </c>
      <c r="F68" s="273" t="s">
        <v>2704</v>
      </c>
      <c r="G68" s="86"/>
      <c r="H68" s="86"/>
      <c r="I68" s="86"/>
      <c r="J68" s="86"/>
      <c r="K68" s="86"/>
      <c r="L68" s="86"/>
      <c r="M68" s="86"/>
      <c r="N68" s="86"/>
      <c r="O68" s="86"/>
      <c r="P68" s="86"/>
      <c r="Q68" s="86"/>
      <c r="R68" s="86"/>
      <c r="S68" s="86"/>
      <c r="T68" s="86"/>
      <c r="U68" s="86"/>
      <c r="V68" s="139"/>
      <c r="W68" s="86"/>
      <c r="X68" s="86"/>
      <c r="Y68" s="86"/>
      <c r="Z68" s="138"/>
    </row>
    <row r="69" spans="1:26" ht="33.75" customHeight="1">
      <c r="A69" s="273">
        <v>68</v>
      </c>
      <c r="B69" s="270" t="s">
        <v>2705</v>
      </c>
      <c r="C69" s="396">
        <f>DATE(2009,10,19)</f>
        <v>40105</v>
      </c>
      <c r="D69" s="395" t="s">
        <v>2544</v>
      </c>
      <c r="E69" s="273" t="s">
        <v>2706</v>
      </c>
      <c r="F69" s="273" t="s">
        <v>2704</v>
      </c>
      <c r="G69" s="86"/>
      <c r="H69" s="86"/>
      <c r="I69" s="86"/>
      <c r="J69" s="86"/>
      <c r="K69" s="86"/>
      <c r="L69" s="86"/>
      <c r="M69" s="86"/>
      <c r="N69" s="86"/>
      <c r="O69" s="86"/>
      <c r="P69" s="86"/>
      <c r="Q69" s="86"/>
      <c r="R69" s="86"/>
      <c r="S69" s="86"/>
      <c r="T69" s="86"/>
      <c r="U69" s="86"/>
      <c r="V69" s="86"/>
      <c r="W69" s="86"/>
      <c r="X69" s="86"/>
      <c r="Y69" s="86"/>
      <c r="Z69" s="138"/>
    </row>
    <row r="70" spans="1:26" ht="33.75" customHeight="1">
      <c r="A70" s="273">
        <v>69</v>
      </c>
      <c r="B70" s="270" t="s">
        <v>2707</v>
      </c>
      <c r="C70" s="396">
        <f>DATE(2009,11,2)</f>
        <v>40119</v>
      </c>
      <c r="D70" s="395" t="s">
        <v>2544</v>
      </c>
      <c r="E70" s="273" t="s">
        <v>2708</v>
      </c>
      <c r="F70" s="273" t="s">
        <v>2709</v>
      </c>
      <c r="G70" s="86"/>
      <c r="H70" s="86"/>
      <c r="I70" s="86"/>
      <c r="J70" s="86"/>
      <c r="K70" s="86"/>
      <c r="L70" s="86"/>
      <c r="M70" s="86"/>
      <c r="N70" s="86"/>
      <c r="O70" s="86"/>
      <c r="P70" s="86"/>
      <c r="Q70" s="86"/>
      <c r="R70" s="86"/>
      <c r="S70" s="86"/>
      <c r="T70" s="86"/>
      <c r="U70" s="86"/>
      <c r="V70" s="86"/>
      <c r="W70" s="86"/>
      <c r="X70" s="86"/>
      <c r="Y70" s="86"/>
      <c r="Z70" s="138"/>
    </row>
    <row r="71" spans="1:26" ht="33.75" customHeight="1">
      <c r="A71" s="273">
        <v>70</v>
      </c>
      <c r="B71" s="270" t="s">
        <v>2710</v>
      </c>
      <c r="C71" s="396">
        <f>DATE(2009,11,9)</f>
        <v>40126</v>
      </c>
      <c r="D71" s="395" t="s">
        <v>2544</v>
      </c>
      <c r="E71" s="273" t="s">
        <v>2711</v>
      </c>
      <c r="F71" s="273" t="s">
        <v>2709</v>
      </c>
      <c r="G71" s="86"/>
      <c r="H71" s="86"/>
      <c r="I71" s="86"/>
      <c r="J71" s="86"/>
      <c r="K71" s="86"/>
      <c r="L71" s="86"/>
      <c r="M71" s="86"/>
      <c r="N71" s="86"/>
      <c r="O71" s="86"/>
      <c r="P71" s="86"/>
      <c r="Q71" s="86"/>
      <c r="R71" s="86"/>
      <c r="S71" s="86"/>
      <c r="T71" s="86"/>
      <c r="U71" s="86"/>
      <c r="V71" s="86"/>
      <c r="W71" s="86"/>
      <c r="X71" s="86"/>
      <c r="Y71" s="86"/>
      <c r="Z71" s="138"/>
    </row>
    <row r="72" spans="1:26" ht="33.75" customHeight="1">
      <c r="A72" s="273">
        <v>71</v>
      </c>
      <c r="B72" s="270" t="s">
        <v>2712</v>
      </c>
      <c r="C72" s="396">
        <f>DATE(2009,11,16)</f>
        <v>40133</v>
      </c>
      <c r="D72" s="395" t="s">
        <v>2544</v>
      </c>
      <c r="E72" s="273" t="s">
        <v>2713</v>
      </c>
      <c r="F72" s="273" t="s">
        <v>2709</v>
      </c>
      <c r="G72" s="86"/>
      <c r="H72" s="86"/>
      <c r="I72" s="86"/>
      <c r="J72" s="86"/>
      <c r="K72" s="86"/>
      <c r="L72" s="86"/>
      <c r="M72" s="86"/>
      <c r="N72" s="86"/>
      <c r="O72" s="86"/>
      <c r="P72" s="86"/>
      <c r="Q72" s="86"/>
      <c r="R72" s="86"/>
      <c r="S72" s="86"/>
      <c r="T72" s="86"/>
      <c r="U72" s="86"/>
      <c r="V72" s="86"/>
      <c r="W72" s="86"/>
      <c r="X72" s="86"/>
      <c r="Y72" s="86"/>
      <c r="Z72" s="138"/>
    </row>
    <row r="73" spans="1:26" ht="33.75" customHeight="1">
      <c r="A73" s="273">
        <v>72</v>
      </c>
      <c r="B73" s="270" t="s">
        <v>2714</v>
      </c>
      <c r="C73" s="396">
        <f>DATE(2009,11,23)</f>
        <v>40140</v>
      </c>
      <c r="D73" s="395" t="s">
        <v>2544</v>
      </c>
      <c r="E73" s="273" t="s">
        <v>2715</v>
      </c>
      <c r="F73" s="273" t="s">
        <v>2716</v>
      </c>
      <c r="G73" s="86"/>
      <c r="H73" s="86"/>
      <c r="I73" s="86"/>
      <c r="J73" s="86"/>
      <c r="K73" s="86"/>
      <c r="L73" s="86"/>
      <c r="M73" s="86"/>
      <c r="N73" s="86"/>
      <c r="O73" s="86"/>
      <c r="P73" s="86"/>
      <c r="Q73" s="86"/>
      <c r="R73" s="86"/>
      <c r="S73" s="86"/>
      <c r="T73" s="86"/>
      <c r="U73" s="86"/>
      <c r="V73" s="86"/>
      <c r="W73" s="86"/>
      <c r="X73" s="86"/>
      <c r="Y73" s="86"/>
      <c r="Z73" s="138"/>
    </row>
    <row r="74" spans="1:26" ht="33.75" customHeight="1">
      <c r="A74" s="273">
        <v>73</v>
      </c>
      <c r="B74" s="270" t="s">
        <v>2717</v>
      </c>
      <c r="C74" s="396">
        <f>DATE(2009,12,3)</f>
        <v>40150</v>
      </c>
      <c r="D74" s="395" t="s">
        <v>2544</v>
      </c>
      <c r="E74" s="273" t="s">
        <v>2718</v>
      </c>
      <c r="F74" s="273" t="s">
        <v>2719</v>
      </c>
      <c r="G74" s="86"/>
      <c r="H74" s="86"/>
      <c r="I74" s="86"/>
      <c r="J74" s="86"/>
      <c r="K74" s="86"/>
      <c r="L74" s="86"/>
      <c r="M74" s="86"/>
      <c r="N74" s="86"/>
      <c r="O74" s="86"/>
      <c r="P74" s="86"/>
      <c r="Q74" s="86"/>
      <c r="R74" s="86"/>
      <c r="S74" s="86"/>
      <c r="T74" s="86"/>
      <c r="U74" s="86"/>
      <c r="V74" s="86"/>
      <c r="W74" s="86"/>
      <c r="X74" s="86"/>
      <c r="Y74" s="86"/>
      <c r="Z74" s="138"/>
    </row>
    <row r="75" spans="1:26" ht="33.75" customHeight="1">
      <c r="A75" s="273">
        <v>74</v>
      </c>
      <c r="B75" s="270" t="s">
        <v>2720</v>
      </c>
      <c r="C75" s="396">
        <f>DATE(2009,12,10)</f>
        <v>40157</v>
      </c>
      <c r="D75" s="395" t="s">
        <v>2544</v>
      </c>
      <c r="E75" s="273" t="s">
        <v>2721</v>
      </c>
      <c r="F75" s="273" t="s">
        <v>2722</v>
      </c>
      <c r="G75" s="86"/>
      <c r="H75" s="86"/>
      <c r="I75" s="86"/>
      <c r="J75" s="86"/>
      <c r="K75" s="86"/>
      <c r="L75" s="86"/>
      <c r="M75" s="86"/>
      <c r="N75" s="86"/>
      <c r="O75" s="86"/>
      <c r="P75" s="86"/>
      <c r="Q75" s="86"/>
      <c r="R75" s="86"/>
      <c r="S75" s="86"/>
      <c r="T75" s="86"/>
      <c r="U75" s="86"/>
      <c r="V75" s="86"/>
      <c r="W75" s="86"/>
      <c r="X75" s="86"/>
      <c r="Y75" s="86"/>
      <c r="Z75" s="138"/>
    </row>
    <row r="76" spans="1:26" ht="33.75" customHeight="1">
      <c r="A76" s="273">
        <v>75</v>
      </c>
      <c r="B76" s="270" t="s">
        <v>2723</v>
      </c>
      <c r="C76" s="396">
        <f>DATE(2009,12,16)</f>
        <v>40163</v>
      </c>
      <c r="D76" s="395" t="s">
        <v>2544</v>
      </c>
      <c r="E76" s="273" t="s">
        <v>2724</v>
      </c>
      <c r="F76" s="273" t="s">
        <v>2716</v>
      </c>
      <c r="G76" s="86"/>
      <c r="H76" s="86"/>
      <c r="I76" s="86"/>
      <c r="J76" s="86"/>
      <c r="K76" s="86"/>
      <c r="L76" s="86"/>
      <c r="M76" s="86"/>
      <c r="N76" s="86"/>
      <c r="O76" s="86"/>
      <c r="P76" s="86"/>
      <c r="Q76" s="86"/>
      <c r="R76" s="86"/>
      <c r="S76" s="86"/>
      <c r="T76" s="86"/>
      <c r="U76" s="86"/>
      <c r="V76" s="86"/>
      <c r="W76" s="86"/>
      <c r="X76" s="86"/>
      <c r="Y76" s="86"/>
      <c r="Z76" s="138"/>
    </row>
    <row r="77" spans="1:26" ht="33.75" customHeight="1">
      <c r="A77" s="273">
        <v>76</v>
      </c>
      <c r="B77" s="270" t="s">
        <v>2725</v>
      </c>
      <c r="C77" s="396">
        <f>DATE(2010,1,11)</f>
        <v>40189</v>
      </c>
      <c r="D77" s="395" t="s">
        <v>2544</v>
      </c>
      <c r="E77" s="273" t="s">
        <v>2726</v>
      </c>
      <c r="F77" s="273" t="s">
        <v>2716</v>
      </c>
      <c r="G77" s="86"/>
      <c r="H77" s="86"/>
      <c r="I77" s="86"/>
      <c r="J77" s="86"/>
      <c r="K77" s="86"/>
      <c r="L77" s="86"/>
      <c r="M77" s="86"/>
      <c r="N77" s="86"/>
      <c r="O77" s="86"/>
      <c r="P77" s="86"/>
      <c r="Q77" s="86"/>
      <c r="R77" s="86"/>
      <c r="S77" s="86"/>
      <c r="T77" s="86"/>
      <c r="U77" s="86"/>
      <c r="V77" s="86"/>
      <c r="W77" s="86"/>
      <c r="X77" s="86"/>
      <c r="Y77" s="86"/>
      <c r="Z77" s="138"/>
    </row>
    <row r="78" spans="1:26" ht="33.75" customHeight="1">
      <c r="A78" s="273">
        <v>77</v>
      </c>
      <c r="B78" s="270" t="s">
        <v>2727</v>
      </c>
      <c r="C78" s="396">
        <f>DATE(2010,1,19)</f>
        <v>40197</v>
      </c>
      <c r="D78" s="395" t="s">
        <v>2544</v>
      </c>
      <c r="E78" s="273" t="s">
        <v>2728</v>
      </c>
      <c r="F78" s="273" t="s">
        <v>2716</v>
      </c>
      <c r="G78" s="86"/>
      <c r="H78" s="86"/>
      <c r="I78" s="86"/>
      <c r="J78" s="86"/>
      <c r="K78" s="86"/>
      <c r="L78" s="86"/>
      <c r="M78" s="86"/>
      <c r="N78" s="86"/>
      <c r="O78" s="86"/>
      <c r="P78" s="86"/>
      <c r="Q78" s="86"/>
      <c r="R78" s="86"/>
      <c r="S78" s="86"/>
      <c r="T78" s="86"/>
      <c r="U78" s="86"/>
      <c r="V78" s="86"/>
      <c r="W78" s="86"/>
      <c r="X78" s="86"/>
      <c r="Y78" s="86"/>
      <c r="Z78" s="138"/>
    </row>
    <row r="79" spans="1:26" ht="33.75" customHeight="1">
      <c r="A79" s="273">
        <v>78</v>
      </c>
      <c r="B79" s="270" t="s">
        <v>2729</v>
      </c>
      <c r="C79" s="396">
        <f>DATE(2010,1,25)</f>
        <v>40203</v>
      </c>
      <c r="D79" s="395" t="s">
        <v>2544</v>
      </c>
      <c r="E79" s="273" t="s">
        <v>2730</v>
      </c>
      <c r="F79" s="273" t="s">
        <v>2731</v>
      </c>
      <c r="G79" s="86"/>
      <c r="H79" s="86"/>
      <c r="I79" s="86"/>
      <c r="J79" s="86"/>
      <c r="K79" s="86"/>
      <c r="L79" s="86"/>
      <c r="M79" s="86"/>
      <c r="N79" s="86"/>
      <c r="O79" s="86"/>
      <c r="P79" s="86"/>
      <c r="Q79" s="86"/>
      <c r="R79" s="86"/>
      <c r="S79" s="86"/>
      <c r="T79" s="86"/>
      <c r="U79" s="86"/>
      <c r="V79" s="86"/>
      <c r="W79" s="86"/>
      <c r="X79" s="86"/>
      <c r="Y79" s="86"/>
      <c r="Z79" s="138"/>
    </row>
    <row r="80" spans="1:26" ht="33.75" customHeight="1">
      <c r="A80" s="273">
        <v>79</v>
      </c>
      <c r="B80" s="270" t="s">
        <v>2732</v>
      </c>
      <c r="C80" s="396">
        <f>DATE(2010,2,1)</f>
        <v>40210</v>
      </c>
      <c r="D80" s="395" t="s">
        <v>2544</v>
      </c>
      <c r="E80" s="273" t="s">
        <v>2733</v>
      </c>
      <c r="F80" s="273" t="s">
        <v>2731</v>
      </c>
      <c r="G80" s="86"/>
      <c r="H80" s="86"/>
      <c r="I80" s="86"/>
      <c r="J80" s="86"/>
      <c r="K80" s="86"/>
      <c r="L80" s="86"/>
      <c r="M80" s="86"/>
      <c r="N80" s="86"/>
      <c r="O80" s="86"/>
      <c r="P80" s="86"/>
      <c r="Q80" s="86"/>
      <c r="R80" s="86"/>
      <c r="S80" s="86"/>
      <c r="T80" s="86"/>
      <c r="U80" s="86"/>
      <c r="V80" s="86"/>
      <c r="W80" s="86"/>
      <c r="X80" s="86"/>
      <c r="Y80" s="86"/>
      <c r="Z80" s="138"/>
    </row>
    <row r="81" spans="1:26" ht="33.75" customHeight="1">
      <c r="A81" s="273">
        <v>80</v>
      </c>
      <c r="B81" s="270" t="s">
        <v>2734</v>
      </c>
      <c r="C81" s="396">
        <f>DATE(2010,2,8)</f>
        <v>40217</v>
      </c>
      <c r="D81" s="395" t="s">
        <v>2544</v>
      </c>
      <c r="E81" s="273" t="s">
        <v>2735</v>
      </c>
      <c r="F81" s="273" t="s">
        <v>2736</v>
      </c>
      <c r="G81" s="86"/>
      <c r="H81" s="86"/>
      <c r="I81" s="86"/>
      <c r="J81" s="86"/>
      <c r="K81" s="86"/>
      <c r="L81" s="86"/>
      <c r="M81" s="86"/>
      <c r="N81" s="86"/>
      <c r="O81" s="86"/>
      <c r="P81" s="86"/>
      <c r="Q81" s="86"/>
      <c r="R81" s="86"/>
      <c r="S81" s="86"/>
      <c r="T81" s="86"/>
      <c r="U81" s="86"/>
      <c r="V81" s="86"/>
      <c r="W81" s="86"/>
      <c r="X81" s="86"/>
      <c r="Y81" s="86"/>
      <c r="Z81" s="138"/>
    </row>
    <row r="82" spans="1:26" ht="33.75" customHeight="1">
      <c r="A82" s="273">
        <v>81</v>
      </c>
      <c r="B82" s="270" t="s">
        <v>2737</v>
      </c>
      <c r="C82" s="396">
        <f>DATE(2010,2,15)</f>
        <v>40224</v>
      </c>
      <c r="D82" s="395" t="s">
        <v>2544</v>
      </c>
      <c r="E82" s="273" t="s">
        <v>2738</v>
      </c>
      <c r="F82" s="273" t="s">
        <v>2736</v>
      </c>
      <c r="G82" s="86"/>
      <c r="H82" s="86"/>
      <c r="I82" s="86"/>
      <c r="J82" s="86"/>
      <c r="K82" s="86"/>
      <c r="L82" s="86"/>
      <c r="M82" s="86"/>
      <c r="N82" s="86"/>
      <c r="O82" s="86"/>
      <c r="P82" s="86"/>
      <c r="Q82" s="86"/>
      <c r="R82" s="86"/>
      <c r="S82" s="86"/>
      <c r="T82" s="86"/>
      <c r="U82" s="86"/>
      <c r="V82" s="86"/>
      <c r="W82" s="86"/>
      <c r="X82" s="86"/>
      <c r="Y82" s="86"/>
      <c r="Z82" s="138"/>
    </row>
    <row r="83" spans="1:26" ht="33.75" customHeight="1">
      <c r="A83" s="273">
        <v>82</v>
      </c>
      <c r="B83" s="270" t="s">
        <v>2739</v>
      </c>
      <c r="C83" s="396">
        <f>DATE(2010,2,22)</f>
        <v>40231</v>
      </c>
      <c r="D83" s="395" t="s">
        <v>2544</v>
      </c>
      <c r="E83" s="273" t="s">
        <v>2740</v>
      </c>
      <c r="F83" s="273" t="s">
        <v>2736</v>
      </c>
      <c r="G83" s="86"/>
      <c r="H83" s="86"/>
      <c r="I83" s="86"/>
      <c r="J83" s="86"/>
      <c r="K83" s="86"/>
      <c r="L83" s="86"/>
      <c r="M83" s="86"/>
      <c r="N83" s="86"/>
      <c r="O83" s="86"/>
      <c r="P83" s="86"/>
      <c r="Q83" s="86"/>
      <c r="R83" s="86"/>
      <c r="S83" s="86"/>
      <c r="T83" s="86"/>
      <c r="U83" s="86"/>
      <c r="V83" s="86"/>
      <c r="W83" s="86"/>
      <c r="X83" s="86"/>
      <c r="Y83" s="86"/>
      <c r="Z83" s="138"/>
    </row>
    <row r="84" spans="1:26" ht="33.75" customHeight="1">
      <c r="A84" s="273">
        <v>83</v>
      </c>
      <c r="B84" s="270" t="s">
        <v>2741</v>
      </c>
      <c r="C84" s="396">
        <f>DATE(2010,3,1)</f>
        <v>40238</v>
      </c>
      <c r="D84" s="395" t="s">
        <v>2544</v>
      </c>
      <c r="E84" s="273" t="s">
        <v>2742</v>
      </c>
      <c r="F84" s="273" t="s">
        <v>2743</v>
      </c>
      <c r="G84" s="86"/>
      <c r="H84" s="86"/>
      <c r="I84" s="86"/>
      <c r="J84" s="86"/>
      <c r="K84" s="86"/>
      <c r="L84" s="86"/>
      <c r="M84" s="86"/>
      <c r="N84" s="86"/>
      <c r="O84" s="86"/>
      <c r="P84" s="86"/>
      <c r="Q84" s="86"/>
      <c r="R84" s="86"/>
      <c r="S84" s="86"/>
      <c r="T84" s="86"/>
      <c r="U84" s="86"/>
      <c r="V84" s="86"/>
      <c r="W84" s="86"/>
      <c r="X84" s="86"/>
      <c r="Y84" s="86"/>
      <c r="Z84" s="138"/>
    </row>
    <row r="85" spans="1:26" ht="33.75" customHeight="1">
      <c r="A85" s="273">
        <v>84</v>
      </c>
      <c r="B85" s="270" t="s">
        <v>2744</v>
      </c>
      <c r="C85" s="396">
        <f>DATE(2010,3,8)</f>
        <v>40245</v>
      </c>
      <c r="D85" s="395" t="s">
        <v>2544</v>
      </c>
      <c r="E85" s="273" t="s">
        <v>2745</v>
      </c>
      <c r="F85" s="273" t="s">
        <v>2743</v>
      </c>
      <c r="G85" s="86"/>
      <c r="H85" s="86"/>
      <c r="I85" s="86"/>
      <c r="J85" s="86"/>
      <c r="K85" s="86"/>
      <c r="L85" s="86"/>
      <c r="M85" s="86"/>
      <c r="N85" s="86"/>
      <c r="O85" s="86"/>
      <c r="P85" s="86"/>
      <c r="Q85" s="86"/>
      <c r="R85" s="86"/>
      <c r="S85" s="86"/>
      <c r="T85" s="86"/>
      <c r="U85" s="86"/>
      <c r="V85" s="86"/>
      <c r="W85" s="86"/>
      <c r="X85" s="86"/>
      <c r="Y85" s="86"/>
      <c r="Z85" s="138"/>
    </row>
    <row r="86" spans="1:26" ht="33.75" customHeight="1">
      <c r="A86" s="273">
        <v>85</v>
      </c>
      <c r="B86" s="270" t="s">
        <v>2746</v>
      </c>
      <c r="C86" s="396">
        <f>DATE(2010,3,22)</f>
        <v>40259</v>
      </c>
      <c r="D86" s="395" t="s">
        <v>2544</v>
      </c>
      <c r="E86" s="273" t="s">
        <v>2747</v>
      </c>
      <c r="F86" s="273" t="s">
        <v>2748</v>
      </c>
      <c r="G86" s="86"/>
      <c r="H86" s="86"/>
      <c r="I86" s="86"/>
      <c r="J86" s="86"/>
      <c r="K86" s="86"/>
      <c r="L86" s="86"/>
      <c r="M86" s="86"/>
      <c r="N86" s="86"/>
      <c r="O86" s="86"/>
      <c r="P86" s="86"/>
      <c r="Q86" s="86"/>
      <c r="R86" s="86"/>
      <c r="S86" s="86"/>
      <c r="T86" s="86"/>
      <c r="U86" s="86"/>
      <c r="V86" s="86"/>
      <c r="W86" s="86"/>
      <c r="X86" s="86"/>
      <c r="Y86" s="86"/>
      <c r="Z86" s="138"/>
    </row>
    <row r="87" spans="1:26" ht="33.75" customHeight="1">
      <c r="A87" s="273">
        <v>86</v>
      </c>
      <c r="B87" s="270" t="s">
        <v>2749</v>
      </c>
      <c r="C87" s="396">
        <f>DATE(2010,4,5)</f>
        <v>40273</v>
      </c>
      <c r="D87" s="395" t="s">
        <v>2544</v>
      </c>
      <c r="E87" s="273" t="s">
        <v>2750</v>
      </c>
      <c r="F87" s="273" t="s">
        <v>2748</v>
      </c>
      <c r="G87" s="86"/>
      <c r="H87" s="86"/>
      <c r="I87" s="86"/>
      <c r="J87" s="86"/>
      <c r="K87" s="86"/>
      <c r="L87" s="86"/>
      <c r="M87" s="86"/>
      <c r="N87" s="86"/>
      <c r="O87" s="86"/>
      <c r="P87" s="86"/>
      <c r="Q87" s="86"/>
      <c r="R87" s="86"/>
      <c r="S87" s="86"/>
      <c r="T87" s="86"/>
      <c r="U87" s="86"/>
      <c r="V87" s="86"/>
      <c r="W87" s="86"/>
      <c r="X87" s="86"/>
      <c r="Y87" s="86"/>
      <c r="Z87" s="138"/>
    </row>
    <row r="88" spans="1:26" ht="33.75" customHeight="1">
      <c r="A88" s="273">
        <v>87</v>
      </c>
      <c r="B88" s="270" t="s">
        <v>2751</v>
      </c>
      <c r="C88" s="396">
        <f>DATE(2010,4,19)</f>
        <v>40287</v>
      </c>
      <c r="D88" s="395" t="s">
        <v>2544</v>
      </c>
      <c r="E88" s="273" t="s">
        <v>2752</v>
      </c>
      <c r="F88" s="273" t="s">
        <v>2753</v>
      </c>
      <c r="G88" s="86"/>
      <c r="H88" s="86"/>
      <c r="I88" s="86"/>
      <c r="J88" s="86"/>
      <c r="K88" s="86"/>
      <c r="L88" s="86"/>
      <c r="M88" s="86"/>
      <c r="N88" s="86"/>
      <c r="O88" s="86"/>
      <c r="P88" s="86"/>
      <c r="Q88" s="86"/>
      <c r="R88" s="86"/>
      <c r="S88" s="86"/>
      <c r="T88" s="86"/>
      <c r="U88" s="86"/>
      <c r="V88" s="86"/>
      <c r="W88" s="86"/>
      <c r="X88" s="86"/>
      <c r="Y88" s="86"/>
      <c r="Z88" s="138"/>
    </row>
    <row r="89" spans="1:26" ht="33.75" customHeight="1">
      <c r="A89" s="273">
        <v>88</v>
      </c>
      <c r="B89" s="270" t="s">
        <v>2754</v>
      </c>
      <c r="C89" s="396">
        <f>DATE(2010,4,22)</f>
        <v>40290</v>
      </c>
      <c r="D89" s="395" t="s">
        <v>2544</v>
      </c>
      <c r="E89" s="273" t="s">
        <v>2755</v>
      </c>
      <c r="F89" s="273" t="s">
        <v>2756</v>
      </c>
      <c r="G89" s="86"/>
      <c r="H89" s="86"/>
      <c r="I89" s="86"/>
      <c r="J89" s="86"/>
      <c r="K89" s="86"/>
      <c r="L89" s="86"/>
      <c r="M89" s="86"/>
      <c r="N89" s="86"/>
      <c r="O89" s="86"/>
      <c r="P89" s="86"/>
      <c r="Q89" s="86"/>
      <c r="R89" s="86"/>
      <c r="S89" s="86"/>
      <c r="T89" s="86"/>
      <c r="U89" s="86"/>
      <c r="V89" s="86"/>
      <c r="W89" s="86"/>
      <c r="X89" s="86"/>
      <c r="Y89" s="86"/>
      <c r="Z89" s="138"/>
    </row>
    <row r="90" spans="1:26" ht="33.75" customHeight="1">
      <c r="A90" s="273">
        <v>89</v>
      </c>
      <c r="B90" s="270" t="s">
        <v>2757</v>
      </c>
      <c r="C90" s="396">
        <f>DATE(2010,4,26)</f>
        <v>40294</v>
      </c>
      <c r="D90" s="395" t="s">
        <v>2544</v>
      </c>
      <c r="E90" s="273" t="s">
        <v>2758</v>
      </c>
      <c r="F90" s="273" t="s">
        <v>2753</v>
      </c>
      <c r="G90" s="86"/>
      <c r="H90" s="86"/>
      <c r="I90" s="86"/>
      <c r="J90" s="86"/>
      <c r="K90" s="86"/>
      <c r="L90" s="86"/>
      <c r="M90" s="86"/>
      <c r="N90" s="86"/>
      <c r="O90" s="86"/>
      <c r="P90" s="86"/>
      <c r="Q90" s="86"/>
      <c r="R90" s="86"/>
      <c r="S90" s="86"/>
      <c r="T90" s="86"/>
      <c r="U90" s="86"/>
      <c r="V90" s="86"/>
      <c r="W90" s="86"/>
      <c r="X90" s="86"/>
      <c r="Y90" s="86"/>
      <c r="Z90" s="138"/>
    </row>
    <row r="91" spans="1:26" ht="33.75" customHeight="1">
      <c r="A91" s="273">
        <v>90</v>
      </c>
      <c r="B91" s="270" t="s">
        <v>2759</v>
      </c>
      <c r="C91" s="396">
        <f>DATE(2010,5,3)</f>
        <v>40301</v>
      </c>
      <c r="D91" s="395" t="s">
        <v>2544</v>
      </c>
      <c r="E91" s="273" t="s">
        <v>2760</v>
      </c>
      <c r="F91" s="273" t="s">
        <v>2753</v>
      </c>
      <c r="G91" s="86"/>
      <c r="H91" s="86"/>
      <c r="I91" s="86"/>
      <c r="J91" s="86"/>
      <c r="K91" s="86"/>
      <c r="L91" s="86"/>
      <c r="M91" s="86"/>
      <c r="N91" s="86"/>
      <c r="O91" s="86"/>
      <c r="P91" s="86"/>
      <c r="Q91" s="86"/>
      <c r="R91" s="86"/>
      <c r="S91" s="86"/>
      <c r="T91" s="86"/>
      <c r="U91" s="86"/>
      <c r="V91" s="86"/>
      <c r="W91" s="86"/>
      <c r="X91" s="86"/>
      <c r="Y91" s="86"/>
      <c r="Z91" s="138"/>
    </row>
    <row r="92" spans="1:26" ht="33.75" customHeight="1">
      <c r="A92" s="273">
        <v>91</v>
      </c>
      <c r="B92" s="270" t="s">
        <v>2761</v>
      </c>
      <c r="C92" s="396">
        <f>DATE(2010,5,10)</f>
        <v>40308</v>
      </c>
      <c r="D92" s="395" t="s">
        <v>2544</v>
      </c>
      <c r="E92" s="273" t="s">
        <v>2762</v>
      </c>
      <c r="F92" s="273" t="s">
        <v>2763</v>
      </c>
      <c r="G92" s="86"/>
      <c r="H92" s="86"/>
      <c r="I92" s="86"/>
      <c r="J92" s="86"/>
      <c r="K92" s="86"/>
      <c r="L92" s="86"/>
      <c r="M92" s="86"/>
      <c r="N92" s="86"/>
      <c r="O92" s="86"/>
      <c r="P92" s="86"/>
      <c r="Q92" s="86"/>
      <c r="R92" s="86"/>
      <c r="S92" s="86"/>
      <c r="T92" s="86"/>
      <c r="U92" s="86"/>
      <c r="V92" s="139"/>
      <c r="W92" s="86"/>
      <c r="X92" s="86"/>
      <c r="Y92" s="86"/>
      <c r="Z92" s="138"/>
    </row>
    <row r="93" spans="1:26" ht="33.75" customHeight="1">
      <c r="A93" s="273">
        <v>92</v>
      </c>
      <c r="B93" s="270" t="s">
        <v>2764</v>
      </c>
      <c r="C93" s="396">
        <f>DATE(2010,5,17)</f>
        <v>40315</v>
      </c>
      <c r="D93" s="395" t="s">
        <v>2544</v>
      </c>
      <c r="E93" s="273" t="s">
        <v>2765</v>
      </c>
      <c r="F93" s="273" t="s">
        <v>2763</v>
      </c>
      <c r="G93" s="86"/>
      <c r="H93" s="86"/>
      <c r="I93" s="86"/>
      <c r="J93" s="86"/>
      <c r="K93" s="86"/>
      <c r="L93" s="86"/>
      <c r="M93" s="86"/>
      <c r="N93" s="86"/>
      <c r="O93" s="86"/>
      <c r="P93" s="86"/>
      <c r="Q93" s="86"/>
      <c r="R93" s="86"/>
      <c r="S93" s="86"/>
      <c r="T93" s="86"/>
      <c r="U93" s="86"/>
      <c r="V93" s="86"/>
      <c r="W93" s="86"/>
      <c r="X93" s="86"/>
      <c r="Y93" s="86"/>
      <c r="Z93" s="138"/>
    </row>
    <row r="94" spans="1:26" ht="33.75" customHeight="1">
      <c r="A94" s="273">
        <v>93</v>
      </c>
      <c r="B94" s="270" t="s">
        <v>2766</v>
      </c>
      <c r="C94" s="396">
        <f>DATE(2010,5,22)</f>
        <v>40320</v>
      </c>
      <c r="D94" s="395" t="s">
        <v>2544</v>
      </c>
      <c r="E94" s="273" t="s">
        <v>2767</v>
      </c>
      <c r="F94" s="273" t="s">
        <v>2763</v>
      </c>
      <c r="G94" s="86"/>
      <c r="H94" s="86"/>
      <c r="I94" s="86"/>
      <c r="J94" s="86"/>
      <c r="K94" s="86"/>
      <c r="L94" s="86"/>
      <c r="M94" s="86"/>
      <c r="N94" s="86"/>
      <c r="O94" s="86"/>
      <c r="P94" s="86"/>
      <c r="Q94" s="86"/>
      <c r="R94" s="86"/>
      <c r="S94" s="86"/>
      <c r="T94" s="86"/>
      <c r="U94" s="86"/>
      <c r="V94" s="86"/>
      <c r="W94" s="86"/>
      <c r="X94" s="86"/>
      <c r="Y94" s="86"/>
      <c r="Z94" s="138"/>
    </row>
    <row r="95" spans="1:26" ht="33.75" customHeight="1">
      <c r="A95" s="273">
        <v>94</v>
      </c>
      <c r="B95" s="270" t="s">
        <v>2768</v>
      </c>
      <c r="C95" s="396">
        <f>DATE(2010,5,23)</f>
        <v>40321</v>
      </c>
      <c r="D95" s="395" t="s">
        <v>2544</v>
      </c>
      <c r="E95" s="273" t="s">
        <v>2769</v>
      </c>
      <c r="F95" s="273" t="s">
        <v>2763</v>
      </c>
      <c r="G95" s="86"/>
      <c r="H95" s="86"/>
      <c r="I95" s="86"/>
      <c r="J95" s="86"/>
      <c r="K95" s="86"/>
      <c r="L95" s="86"/>
      <c r="M95" s="86"/>
      <c r="N95" s="86"/>
      <c r="O95" s="86"/>
      <c r="P95" s="86"/>
      <c r="Q95" s="86"/>
      <c r="R95" s="86"/>
      <c r="S95" s="86"/>
      <c r="T95" s="86"/>
      <c r="U95" s="86"/>
      <c r="V95" s="86"/>
      <c r="W95" s="86"/>
      <c r="X95" s="86"/>
      <c r="Y95" s="86"/>
      <c r="Z95" s="138"/>
    </row>
    <row r="96" spans="1:26" ht="33.75" customHeight="1">
      <c r="A96" s="273">
        <v>95</v>
      </c>
      <c r="B96" s="270" t="s">
        <v>2770</v>
      </c>
      <c r="C96" s="396">
        <f>DATE(2010,5,24)</f>
        <v>40322</v>
      </c>
      <c r="D96" s="395" t="s">
        <v>2544</v>
      </c>
      <c r="E96" s="273" t="s">
        <v>2771</v>
      </c>
      <c r="F96" s="273" t="s">
        <v>2772</v>
      </c>
      <c r="G96" s="86"/>
      <c r="H96" s="86"/>
      <c r="I96" s="86"/>
      <c r="J96" s="86"/>
      <c r="K96" s="86"/>
      <c r="L96" s="86"/>
      <c r="M96" s="86"/>
      <c r="N96" s="86"/>
      <c r="O96" s="86"/>
      <c r="P96" s="86"/>
      <c r="Q96" s="86"/>
      <c r="R96" s="86"/>
      <c r="S96" s="86"/>
      <c r="T96" s="86"/>
      <c r="U96" s="86"/>
      <c r="V96" s="86"/>
      <c r="W96" s="86"/>
      <c r="X96" s="86"/>
      <c r="Y96" s="86"/>
      <c r="Z96" s="138"/>
    </row>
    <row r="97" spans="1:26" ht="33.75" customHeight="1">
      <c r="A97" s="273">
        <v>96</v>
      </c>
      <c r="B97" s="270" t="s">
        <v>2773</v>
      </c>
      <c r="C97" s="396">
        <f>DATE(2010,5,25)</f>
        <v>40323</v>
      </c>
      <c r="D97" s="395" t="s">
        <v>2544</v>
      </c>
      <c r="E97" s="273" t="s">
        <v>2774</v>
      </c>
      <c r="F97" s="273" t="s">
        <v>2775</v>
      </c>
      <c r="G97" s="86"/>
      <c r="H97" s="86"/>
      <c r="I97" s="86"/>
      <c r="J97" s="86"/>
      <c r="K97" s="86"/>
      <c r="L97" s="86"/>
      <c r="M97" s="86"/>
      <c r="N97" s="86"/>
      <c r="O97" s="86"/>
      <c r="P97" s="86"/>
      <c r="Q97" s="86"/>
      <c r="R97" s="86"/>
      <c r="S97" s="86"/>
      <c r="T97" s="86"/>
      <c r="U97" s="86"/>
      <c r="V97" s="86"/>
      <c r="W97" s="86"/>
      <c r="X97" s="86"/>
      <c r="Y97" s="86"/>
      <c r="Z97" s="138"/>
    </row>
    <row r="98" spans="1:26" ht="33.75" customHeight="1">
      <c r="A98" s="273">
        <v>97</v>
      </c>
      <c r="B98" s="270" t="s">
        <v>2773</v>
      </c>
      <c r="C98" s="396">
        <f>DATE(2010,5,27)</f>
        <v>40325</v>
      </c>
      <c r="D98" s="395" t="s">
        <v>2544</v>
      </c>
      <c r="E98" s="273" t="s">
        <v>2776</v>
      </c>
      <c r="F98" s="273" t="s">
        <v>269</v>
      </c>
      <c r="G98" s="86"/>
      <c r="H98" s="86"/>
      <c r="I98" s="86"/>
      <c r="J98" s="86"/>
      <c r="K98" s="86"/>
      <c r="L98" s="86"/>
      <c r="M98" s="86"/>
      <c r="N98" s="86"/>
      <c r="O98" s="86"/>
      <c r="P98" s="86"/>
      <c r="Q98" s="86"/>
      <c r="R98" s="86"/>
      <c r="S98" s="86"/>
      <c r="T98" s="86"/>
      <c r="U98" s="86"/>
      <c r="V98" s="86"/>
      <c r="W98" s="86"/>
      <c r="X98" s="86"/>
      <c r="Y98" s="86"/>
      <c r="Z98" s="138"/>
    </row>
    <row r="99" spans="1:26" ht="33.75" customHeight="1">
      <c r="A99" s="273">
        <v>98</v>
      </c>
      <c r="B99" s="270" t="s">
        <v>2777</v>
      </c>
      <c r="C99" s="396">
        <f>DATE(2010,5,28)</f>
        <v>40326</v>
      </c>
      <c r="D99" s="395" t="s">
        <v>2544</v>
      </c>
      <c r="E99" s="273" t="s">
        <v>2778</v>
      </c>
      <c r="F99" s="273" t="s">
        <v>269</v>
      </c>
      <c r="G99" s="86"/>
      <c r="H99" s="86"/>
      <c r="I99" s="86"/>
      <c r="J99" s="86"/>
      <c r="K99" s="86"/>
      <c r="L99" s="86"/>
      <c r="M99" s="86"/>
      <c r="N99" s="86"/>
      <c r="O99" s="86"/>
      <c r="P99" s="86"/>
      <c r="Q99" s="86"/>
      <c r="R99" s="86"/>
      <c r="S99" s="86"/>
      <c r="T99" s="86"/>
      <c r="U99" s="86"/>
      <c r="V99" s="86"/>
      <c r="W99" s="86"/>
      <c r="X99" s="86"/>
      <c r="Y99" s="86"/>
      <c r="Z99" s="138"/>
    </row>
    <row r="100" spans="1:26" ht="33.75" customHeight="1">
      <c r="A100" s="273">
        <v>99</v>
      </c>
      <c r="B100" s="270" t="s">
        <v>2779</v>
      </c>
      <c r="C100" s="396">
        <f>DATE(2010,6,1)</f>
        <v>40330</v>
      </c>
      <c r="D100" s="395" t="s">
        <v>2544</v>
      </c>
      <c r="E100" s="273" t="s">
        <v>2780</v>
      </c>
      <c r="F100" s="273" t="s">
        <v>269</v>
      </c>
      <c r="G100" s="86"/>
      <c r="H100" s="86"/>
      <c r="I100" s="86"/>
      <c r="J100" s="86"/>
      <c r="K100" s="86"/>
      <c r="L100" s="86"/>
      <c r="M100" s="86"/>
      <c r="N100" s="86"/>
      <c r="O100" s="86"/>
      <c r="P100" s="86"/>
      <c r="Q100" s="86"/>
      <c r="R100" s="86"/>
      <c r="S100" s="86"/>
      <c r="T100" s="86"/>
      <c r="U100" s="86"/>
      <c r="V100" s="86"/>
      <c r="W100" s="86"/>
      <c r="X100" s="86"/>
      <c r="Y100" s="86"/>
      <c r="Z100" s="138"/>
    </row>
    <row r="101" spans="1:26" ht="33.75" customHeight="1">
      <c r="A101" s="273">
        <v>100</v>
      </c>
      <c r="B101" s="270" t="s">
        <v>2781</v>
      </c>
      <c r="C101" s="396">
        <f>DATE(2010,6,2)</f>
        <v>40331</v>
      </c>
      <c r="D101" s="395" t="s">
        <v>2544</v>
      </c>
      <c r="E101" s="273" t="s">
        <v>2782</v>
      </c>
      <c r="F101" s="273" t="s">
        <v>269</v>
      </c>
      <c r="G101" s="86"/>
      <c r="H101" s="86"/>
      <c r="I101" s="86"/>
      <c r="J101" s="86"/>
      <c r="K101" s="86"/>
      <c r="L101" s="86"/>
      <c r="M101" s="86"/>
      <c r="N101" s="86"/>
      <c r="O101" s="86"/>
      <c r="P101" s="86"/>
      <c r="Q101" s="86"/>
      <c r="R101" s="86"/>
      <c r="S101" s="86"/>
      <c r="T101" s="86"/>
      <c r="U101" s="86"/>
      <c r="V101" s="86"/>
      <c r="W101" s="86"/>
      <c r="X101" s="86"/>
      <c r="Y101" s="86"/>
      <c r="Z101" s="138"/>
    </row>
    <row r="102" spans="1:26" ht="33.75" customHeight="1">
      <c r="A102" s="273">
        <v>101</v>
      </c>
      <c r="B102" s="270" t="s">
        <v>2783</v>
      </c>
      <c r="C102" s="396">
        <f>DATE(2010,6,3)</f>
        <v>40332</v>
      </c>
      <c r="D102" s="395" t="s">
        <v>2544</v>
      </c>
      <c r="E102" s="273" t="s">
        <v>2784</v>
      </c>
      <c r="F102" s="273" t="s">
        <v>2785</v>
      </c>
      <c r="G102" s="86"/>
      <c r="H102" s="86"/>
      <c r="I102" s="86"/>
      <c r="J102" s="86"/>
      <c r="K102" s="86"/>
      <c r="L102" s="86"/>
      <c r="M102" s="86"/>
      <c r="N102" s="86"/>
      <c r="O102" s="86"/>
      <c r="P102" s="86"/>
      <c r="Q102" s="86"/>
      <c r="R102" s="86"/>
      <c r="S102" s="86"/>
      <c r="T102" s="86"/>
      <c r="U102" s="86"/>
      <c r="V102" s="86"/>
      <c r="W102" s="86"/>
      <c r="X102" s="86"/>
      <c r="Y102" s="86"/>
      <c r="Z102" s="138"/>
    </row>
    <row r="103" spans="1:26" ht="33.75" customHeight="1">
      <c r="A103" s="273">
        <v>102</v>
      </c>
      <c r="B103" s="270" t="s">
        <v>2786</v>
      </c>
      <c r="C103" s="396">
        <f>DATE(2010,6,4)</f>
        <v>40333</v>
      </c>
      <c r="D103" s="395" t="s">
        <v>2544</v>
      </c>
      <c r="E103" s="273" t="s">
        <v>2787</v>
      </c>
      <c r="F103" s="273" t="s">
        <v>2788</v>
      </c>
      <c r="G103" s="86"/>
      <c r="H103" s="86"/>
      <c r="I103" s="86"/>
      <c r="J103" s="86"/>
      <c r="K103" s="86"/>
      <c r="L103" s="86"/>
      <c r="M103" s="86"/>
      <c r="N103" s="86"/>
      <c r="O103" s="86"/>
      <c r="P103" s="86"/>
      <c r="Q103" s="86"/>
      <c r="R103" s="86"/>
      <c r="S103" s="86"/>
      <c r="T103" s="86"/>
      <c r="U103" s="86"/>
      <c r="V103" s="86"/>
      <c r="W103" s="86"/>
      <c r="X103" s="86"/>
      <c r="Y103" s="86"/>
      <c r="Z103" s="138"/>
    </row>
    <row r="104" spans="1:26" ht="33.75" customHeight="1">
      <c r="A104" s="273">
        <v>103</v>
      </c>
      <c r="B104" s="270" t="s">
        <v>2789</v>
      </c>
      <c r="C104" s="396">
        <f t="shared" ref="C104" si="1">DATE(2010,6,4)</f>
        <v>40333</v>
      </c>
      <c r="D104" s="395" t="s">
        <v>2544</v>
      </c>
      <c r="E104" s="273" t="s">
        <v>2790</v>
      </c>
      <c r="F104" s="273" t="s">
        <v>2788</v>
      </c>
      <c r="G104" s="86"/>
      <c r="H104" s="86"/>
      <c r="I104" s="86"/>
      <c r="J104" s="86"/>
      <c r="K104" s="86"/>
      <c r="L104" s="86"/>
      <c r="M104" s="86"/>
      <c r="N104" s="86"/>
      <c r="O104" s="86"/>
      <c r="P104" s="86"/>
      <c r="Q104" s="86"/>
      <c r="R104" s="86"/>
      <c r="S104" s="86"/>
      <c r="T104" s="86"/>
      <c r="U104" s="86"/>
      <c r="V104" s="86"/>
      <c r="W104" s="86"/>
      <c r="X104" s="86"/>
      <c r="Y104" s="86"/>
      <c r="Z104" s="138"/>
    </row>
    <row r="105" spans="1:26" ht="33.75" customHeight="1">
      <c r="A105" s="273">
        <v>104</v>
      </c>
      <c r="B105" s="270" t="s">
        <v>2791</v>
      </c>
      <c r="C105" s="396">
        <f>DATE(2010,6,6)</f>
        <v>40335</v>
      </c>
      <c r="D105" s="395" t="s">
        <v>2544</v>
      </c>
      <c r="E105" s="273" t="s">
        <v>2792</v>
      </c>
      <c r="F105" s="273" t="s">
        <v>2793</v>
      </c>
      <c r="G105" s="86"/>
      <c r="H105" s="86"/>
      <c r="I105" s="86"/>
      <c r="J105" s="86"/>
      <c r="K105" s="86"/>
      <c r="L105" s="86"/>
      <c r="M105" s="86"/>
      <c r="N105" s="86"/>
      <c r="O105" s="86"/>
      <c r="P105" s="86"/>
      <c r="Q105" s="86"/>
      <c r="R105" s="86"/>
      <c r="S105" s="86"/>
      <c r="T105" s="86"/>
      <c r="U105" s="86"/>
      <c r="V105" s="86"/>
      <c r="W105" s="86"/>
      <c r="X105" s="86"/>
      <c r="Y105" s="86"/>
      <c r="Z105" s="138"/>
    </row>
    <row r="106" spans="1:26" ht="33.75" customHeight="1">
      <c r="A106" s="273">
        <v>105</v>
      </c>
      <c r="B106" s="270" t="s">
        <v>2794</v>
      </c>
      <c r="C106" s="396">
        <f>DATE(2010,6,7)</f>
        <v>40336</v>
      </c>
      <c r="D106" s="395" t="s">
        <v>2544</v>
      </c>
      <c r="E106" s="273" t="s">
        <v>2795</v>
      </c>
      <c r="F106" s="273" t="s">
        <v>2753</v>
      </c>
      <c r="G106" s="86"/>
      <c r="H106" s="86"/>
      <c r="I106" s="86"/>
      <c r="J106" s="86"/>
      <c r="K106" s="86"/>
      <c r="L106" s="86"/>
      <c r="M106" s="86"/>
      <c r="N106" s="86"/>
      <c r="O106" s="86"/>
      <c r="P106" s="86"/>
      <c r="Q106" s="86"/>
      <c r="R106" s="86"/>
      <c r="S106" s="86"/>
      <c r="T106" s="86"/>
      <c r="U106" s="86"/>
      <c r="V106" s="86"/>
      <c r="W106" s="86"/>
      <c r="X106" s="86"/>
      <c r="Y106" s="86"/>
      <c r="Z106" s="138"/>
    </row>
    <row r="107" spans="1:26" ht="33.75" customHeight="1">
      <c r="A107" s="273">
        <v>106</v>
      </c>
      <c r="B107" s="270" t="s">
        <v>2796</v>
      </c>
      <c r="C107" s="396">
        <f t="shared" ref="C107:C108" si="2">DATE(2010,6,7)</f>
        <v>40336</v>
      </c>
      <c r="D107" s="395" t="s">
        <v>2544</v>
      </c>
      <c r="E107" s="273" t="s">
        <v>2797</v>
      </c>
      <c r="F107" s="273" t="s">
        <v>2753</v>
      </c>
      <c r="G107" s="86"/>
      <c r="H107" s="86"/>
      <c r="I107" s="86"/>
      <c r="J107" s="86"/>
      <c r="K107" s="86"/>
      <c r="L107" s="86"/>
      <c r="M107" s="86"/>
      <c r="N107" s="86"/>
      <c r="O107" s="86"/>
      <c r="P107" s="86"/>
      <c r="Q107" s="86"/>
      <c r="R107" s="86"/>
      <c r="S107" s="86"/>
      <c r="T107" s="86"/>
      <c r="U107" s="86"/>
      <c r="V107" s="86"/>
      <c r="W107" s="86"/>
      <c r="X107" s="86"/>
      <c r="Y107" s="86"/>
      <c r="Z107" s="138"/>
    </row>
    <row r="108" spans="1:26" ht="33.75" customHeight="1">
      <c r="A108" s="273">
        <v>107</v>
      </c>
      <c r="B108" s="270" t="s">
        <v>2798</v>
      </c>
      <c r="C108" s="396">
        <f t="shared" si="2"/>
        <v>40336</v>
      </c>
      <c r="D108" s="395" t="s">
        <v>2544</v>
      </c>
      <c r="E108" s="273" t="s">
        <v>2799</v>
      </c>
      <c r="F108" s="273" t="s">
        <v>2753</v>
      </c>
      <c r="G108" s="86"/>
      <c r="H108" s="86"/>
      <c r="I108" s="86"/>
      <c r="J108" s="86"/>
      <c r="K108" s="86"/>
      <c r="L108" s="86"/>
      <c r="M108" s="86"/>
      <c r="N108" s="86"/>
      <c r="O108" s="86"/>
      <c r="P108" s="86"/>
      <c r="Q108" s="86"/>
      <c r="R108" s="86"/>
      <c r="S108" s="86"/>
      <c r="T108" s="86"/>
      <c r="U108" s="86"/>
      <c r="V108" s="86"/>
      <c r="W108" s="86"/>
      <c r="X108" s="86"/>
      <c r="Y108" s="86"/>
      <c r="Z108" s="138"/>
    </row>
    <row r="109" spans="1:26" ht="33.75" customHeight="1">
      <c r="A109" s="273">
        <v>108</v>
      </c>
      <c r="B109" s="270" t="s">
        <v>2800</v>
      </c>
      <c r="C109" s="396">
        <f>DATE(2010,6,8)</f>
        <v>40337</v>
      </c>
      <c r="D109" s="395" t="s">
        <v>2544</v>
      </c>
      <c r="E109" s="273" t="s">
        <v>2801</v>
      </c>
      <c r="F109" s="273" t="s">
        <v>2802</v>
      </c>
      <c r="G109" s="86"/>
      <c r="H109" s="86"/>
      <c r="I109" s="86"/>
      <c r="J109" s="86"/>
      <c r="K109" s="86"/>
      <c r="L109" s="86"/>
      <c r="M109" s="86"/>
      <c r="N109" s="86"/>
      <c r="O109" s="86"/>
      <c r="P109" s="86"/>
      <c r="Q109" s="86"/>
      <c r="R109" s="86"/>
      <c r="S109" s="86"/>
      <c r="T109" s="86"/>
      <c r="U109" s="86"/>
      <c r="V109" s="86"/>
      <c r="W109" s="139"/>
      <c r="X109" s="86"/>
      <c r="Y109" s="86"/>
      <c r="Z109" s="138"/>
    </row>
    <row r="110" spans="1:26" ht="33.75" customHeight="1">
      <c r="A110" s="273">
        <v>109</v>
      </c>
      <c r="B110" s="270" t="s">
        <v>2803</v>
      </c>
      <c r="C110" s="396">
        <f>DATE(2010,6,9)</f>
        <v>40338</v>
      </c>
      <c r="D110" s="395" t="s">
        <v>2544</v>
      </c>
      <c r="E110" s="273" t="s">
        <v>2804</v>
      </c>
      <c r="F110" s="273" t="s">
        <v>2805</v>
      </c>
      <c r="G110" s="86"/>
      <c r="H110" s="86"/>
      <c r="I110" s="86"/>
      <c r="J110" s="86"/>
      <c r="K110" s="86"/>
      <c r="L110" s="86"/>
      <c r="M110" s="86"/>
      <c r="N110" s="86"/>
      <c r="O110" s="86"/>
      <c r="P110" s="86"/>
      <c r="Q110" s="86"/>
      <c r="R110" s="86"/>
      <c r="S110" s="86"/>
      <c r="T110" s="86"/>
      <c r="U110" s="86"/>
      <c r="V110" s="139"/>
      <c r="W110" s="139"/>
      <c r="X110" s="86"/>
      <c r="Y110" s="86"/>
      <c r="Z110" s="138"/>
    </row>
    <row r="111" spans="1:26" ht="33.75" customHeight="1">
      <c r="A111" s="273">
        <v>110</v>
      </c>
      <c r="B111" s="270" t="s">
        <v>2806</v>
      </c>
      <c r="C111" s="396">
        <f t="shared" ref="C111" si="3">DATE(2010,6,9)</f>
        <v>40338</v>
      </c>
      <c r="D111" s="395" t="s">
        <v>2544</v>
      </c>
      <c r="E111" s="273" t="s">
        <v>2807</v>
      </c>
      <c r="F111" s="273" t="s">
        <v>2805</v>
      </c>
      <c r="G111" s="86"/>
      <c r="H111" s="86"/>
      <c r="I111" s="86"/>
      <c r="J111" s="86"/>
      <c r="K111" s="86"/>
      <c r="L111" s="86"/>
      <c r="M111" s="86"/>
      <c r="N111" s="86"/>
      <c r="O111" s="86"/>
      <c r="P111" s="86"/>
      <c r="Q111" s="86"/>
      <c r="R111" s="86"/>
      <c r="S111" s="86"/>
      <c r="T111" s="86"/>
      <c r="U111" s="86"/>
      <c r="V111" s="139"/>
      <c r="W111" s="139"/>
      <c r="X111" s="86"/>
      <c r="Y111" s="86"/>
      <c r="Z111" s="138"/>
    </row>
    <row r="112" spans="1:26" ht="33.75" customHeight="1">
      <c r="A112" s="273">
        <v>111</v>
      </c>
      <c r="B112" s="270" t="s">
        <v>2808</v>
      </c>
      <c r="C112" s="396">
        <f>DATE(2010,6,21)</f>
        <v>40350</v>
      </c>
      <c r="D112" s="395" t="s">
        <v>2544</v>
      </c>
      <c r="E112" s="273" t="s">
        <v>2809</v>
      </c>
      <c r="F112" s="273" t="s">
        <v>2810</v>
      </c>
      <c r="G112" s="86"/>
      <c r="H112" s="86"/>
      <c r="I112" s="139"/>
      <c r="J112" s="139"/>
      <c r="K112" s="86"/>
      <c r="L112" s="86"/>
      <c r="M112" s="86"/>
      <c r="N112" s="86"/>
      <c r="O112" s="86"/>
      <c r="P112" s="86"/>
      <c r="Q112" s="86"/>
      <c r="R112" s="86"/>
      <c r="S112" s="86"/>
      <c r="T112" s="86"/>
      <c r="U112" s="86"/>
      <c r="V112" s="139"/>
      <c r="W112" s="139"/>
      <c r="X112" s="86"/>
      <c r="Y112" s="86"/>
      <c r="Z112" s="138"/>
    </row>
    <row r="113" spans="1:26" ht="33.75" customHeight="1">
      <c r="A113" s="273">
        <v>112</v>
      </c>
      <c r="B113" s="270" t="s">
        <v>2811</v>
      </c>
      <c r="C113" s="396">
        <f>DATE(2010,6,28)</f>
        <v>40357</v>
      </c>
      <c r="D113" s="395" t="s">
        <v>2544</v>
      </c>
      <c r="E113" s="273" t="s">
        <v>2812</v>
      </c>
      <c r="F113" s="273" t="s">
        <v>2810</v>
      </c>
      <c r="G113" s="86"/>
      <c r="H113" s="86"/>
      <c r="I113" s="139"/>
      <c r="J113" s="139"/>
      <c r="K113" s="86"/>
      <c r="L113" s="86"/>
      <c r="M113" s="86"/>
      <c r="N113" s="86"/>
      <c r="O113" s="86"/>
      <c r="P113" s="86"/>
      <c r="Q113" s="86"/>
      <c r="R113" s="86"/>
      <c r="S113" s="86"/>
      <c r="T113" s="86"/>
      <c r="U113" s="86"/>
      <c r="V113" s="139"/>
      <c r="W113" s="139"/>
      <c r="X113" s="86"/>
      <c r="Y113" s="86"/>
      <c r="Z113" s="138"/>
    </row>
    <row r="114" spans="1:26" ht="33.75" customHeight="1">
      <c r="A114" s="273">
        <v>113</v>
      </c>
      <c r="B114" s="270" t="s">
        <v>2813</v>
      </c>
      <c r="C114" s="396">
        <f>DATE(2010,7,5)</f>
        <v>40364</v>
      </c>
      <c r="D114" s="395" t="s">
        <v>2544</v>
      </c>
      <c r="E114" s="273" t="s">
        <v>2814</v>
      </c>
      <c r="F114" s="273" t="s">
        <v>2810</v>
      </c>
      <c r="G114" s="86"/>
      <c r="H114" s="86"/>
      <c r="I114" s="139"/>
      <c r="J114" s="139"/>
      <c r="K114" s="86"/>
      <c r="L114" s="86"/>
      <c r="M114" s="86"/>
      <c r="N114" s="86"/>
      <c r="O114" s="86"/>
      <c r="P114" s="86"/>
      <c r="Q114" s="86"/>
      <c r="R114" s="86"/>
      <c r="S114" s="86"/>
      <c r="T114" s="86"/>
      <c r="U114" s="86"/>
      <c r="V114" s="139"/>
      <c r="W114" s="139"/>
      <c r="X114" s="86"/>
      <c r="Y114" s="86"/>
      <c r="Z114" s="138"/>
    </row>
    <row r="115" spans="1:26" ht="33.75" customHeight="1">
      <c r="A115" s="273">
        <v>114</v>
      </c>
      <c r="B115" s="270" t="s">
        <v>2815</v>
      </c>
      <c r="C115" s="396">
        <f>DATE(2010,9,6)</f>
        <v>40427</v>
      </c>
      <c r="D115" s="395" t="s">
        <v>2544</v>
      </c>
      <c r="E115" s="273" t="s">
        <v>2816</v>
      </c>
      <c r="F115" s="273" t="s">
        <v>2616</v>
      </c>
      <c r="G115" s="86"/>
      <c r="H115" s="86"/>
      <c r="I115" s="139"/>
      <c r="J115" s="139"/>
      <c r="K115" s="86"/>
      <c r="L115" s="86"/>
      <c r="M115" s="86"/>
      <c r="N115" s="86"/>
      <c r="O115" s="86"/>
      <c r="P115" s="86"/>
      <c r="Q115" s="86"/>
      <c r="R115" s="86"/>
      <c r="S115" s="86"/>
      <c r="T115" s="86"/>
      <c r="U115" s="86"/>
      <c r="V115" s="139"/>
      <c r="W115" s="139"/>
      <c r="X115" s="86"/>
      <c r="Y115" s="86"/>
      <c r="Z115" s="138"/>
    </row>
    <row r="116" spans="1:26" ht="33.75" customHeight="1">
      <c r="A116" s="273">
        <v>115</v>
      </c>
      <c r="B116" s="270" t="s">
        <v>2817</v>
      </c>
      <c r="C116" s="396">
        <f>DATE(2010,9,13)</f>
        <v>40434</v>
      </c>
      <c r="D116" s="395" t="s">
        <v>2544</v>
      </c>
      <c r="E116" s="273" t="s">
        <v>2818</v>
      </c>
      <c r="F116" s="273" t="s">
        <v>2616</v>
      </c>
      <c r="G116" s="86"/>
      <c r="H116" s="86"/>
      <c r="I116" s="139"/>
      <c r="J116" s="139"/>
      <c r="K116" s="86"/>
      <c r="L116" s="86"/>
      <c r="M116" s="86"/>
      <c r="N116" s="86"/>
      <c r="O116" s="86"/>
      <c r="P116" s="86"/>
      <c r="Q116" s="86"/>
      <c r="R116" s="86"/>
      <c r="S116" s="86"/>
      <c r="T116" s="86"/>
      <c r="U116" s="86"/>
      <c r="V116" s="139"/>
      <c r="W116" s="139"/>
      <c r="X116" s="86"/>
      <c r="Y116" s="86"/>
      <c r="Z116" s="138"/>
    </row>
    <row r="117" spans="1:26" ht="33.75" customHeight="1">
      <c r="A117" s="273">
        <v>116</v>
      </c>
      <c r="B117" s="270" t="s">
        <v>2819</v>
      </c>
      <c r="C117" s="396">
        <f>DATE(2010,9,20)</f>
        <v>40441</v>
      </c>
      <c r="D117" s="395" t="s">
        <v>2544</v>
      </c>
      <c r="E117" s="273" t="s">
        <v>2820</v>
      </c>
      <c r="F117" s="273" t="s">
        <v>2616</v>
      </c>
      <c r="G117" s="86"/>
      <c r="H117" s="86"/>
      <c r="I117" s="139"/>
      <c r="J117" s="139"/>
      <c r="K117" s="86"/>
      <c r="L117" s="86"/>
      <c r="M117" s="86"/>
      <c r="N117" s="86"/>
      <c r="O117" s="86"/>
      <c r="P117" s="86"/>
      <c r="Q117" s="86"/>
      <c r="R117" s="86"/>
      <c r="S117" s="86"/>
      <c r="T117" s="86"/>
      <c r="U117" s="86"/>
      <c r="V117" s="139"/>
      <c r="W117" s="139"/>
      <c r="X117" s="86"/>
      <c r="Y117" s="86"/>
      <c r="Z117" s="138"/>
    </row>
    <row r="118" spans="1:26" ht="33.75" customHeight="1">
      <c r="A118" s="273">
        <v>117</v>
      </c>
      <c r="B118" s="270" t="s">
        <v>2821</v>
      </c>
      <c r="C118" s="396">
        <f>DATE(2010,9,27)</f>
        <v>40448</v>
      </c>
      <c r="D118" s="395" t="s">
        <v>2544</v>
      </c>
      <c r="E118" s="273" t="s">
        <v>2822</v>
      </c>
      <c r="F118" s="273" t="s">
        <v>2823</v>
      </c>
      <c r="G118" s="86"/>
      <c r="H118" s="86"/>
      <c r="I118" s="86"/>
      <c r="J118" s="86"/>
      <c r="K118" s="86"/>
      <c r="L118" s="86"/>
      <c r="M118" s="86"/>
      <c r="N118" s="86"/>
      <c r="O118" s="86"/>
      <c r="P118" s="86"/>
      <c r="Q118" s="86"/>
      <c r="R118" s="86"/>
      <c r="S118" s="86"/>
      <c r="T118" s="86"/>
      <c r="U118" s="86"/>
      <c r="V118" s="139"/>
      <c r="W118" s="139"/>
      <c r="X118" s="86"/>
      <c r="Y118" s="86"/>
      <c r="Z118" s="138"/>
    </row>
    <row r="119" spans="1:26" ht="33.75" customHeight="1">
      <c r="A119" s="273">
        <v>118</v>
      </c>
      <c r="B119" s="270" t="s">
        <v>2824</v>
      </c>
      <c r="C119" s="396">
        <f>DATE(2010,10,4)</f>
        <v>40455</v>
      </c>
      <c r="D119" s="395" t="s">
        <v>2544</v>
      </c>
      <c r="E119" s="273" t="s">
        <v>2825</v>
      </c>
      <c r="F119" s="273" t="s">
        <v>2823</v>
      </c>
      <c r="G119" s="86"/>
      <c r="H119" s="86"/>
      <c r="I119" s="86"/>
      <c r="J119" s="86"/>
      <c r="K119" s="86"/>
      <c r="L119" s="86"/>
      <c r="M119" s="86"/>
      <c r="N119" s="86"/>
      <c r="O119" s="86"/>
      <c r="P119" s="86"/>
      <c r="Q119" s="86"/>
      <c r="R119" s="86"/>
      <c r="S119" s="86"/>
      <c r="T119" s="86"/>
      <c r="U119" s="86"/>
      <c r="V119" s="139"/>
      <c r="W119" s="139"/>
      <c r="X119" s="86"/>
      <c r="Y119" s="86"/>
      <c r="Z119" s="138"/>
    </row>
    <row r="120" spans="1:26" ht="33.75" customHeight="1">
      <c r="A120" s="273">
        <v>119</v>
      </c>
      <c r="B120" s="270" t="s">
        <v>2826</v>
      </c>
      <c r="C120" s="396">
        <f>DATE(2010,10,13)</f>
        <v>40464</v>
      </c>
      <c r="D120" s="395" t="s">
        <v>2544</v>
      </c>
      <c r="E120" s="273" t="s">
        <v>2827</v>
      </c>
      <c r="F120" s="273" t="s">
        <v>269</v>
      </c>
      <c r="G120" s="86"/>
      <c r="H120" s="86"/>
      <c r="I120" s="139"/>
      <c r="J120" s="86"/>
      <c r="K120" s="86"/>
      <c r="L120" s="86"/>
      <c r="M120" s="86"/>
      <c r="N120" s="86"/>
      <c r="O120" s="86"/>
      <c r="P120" s="86"/>
      <c r="Q120" s="86"/>
      <c r="R120" s="86"/>
      <c r="S120" s="86"/>
      <c r="T120" s="86"/>
      <c r="U120" s="86"/>
      <c r="V120" s="139"/>
      <c r="W120" s="139"/>
      <c r="X120" s="86"/>
      <c r="Y120" s="86"/>
      <c r="Z120" s="138"/>
    </row>
    <row r="121" spans="1:26" ht="33.75" customHeight="1">
      <c r="A121" s="273">
        <v>120</v>
      </c>
      <c r="B121" s="270" t="s">
        <v>2828</v>
      </c>
      <c r="C121" s="396">
        <f>DATE(2010,10,18)</f>
        <v>40469</v>
      </c>
      <c r="D121" s="395" t="s">
        <v>2544</v>
      </c>
      <c r="E121" s="273" t="s">
        <v>2829</v>
      </c>
      <c r="F121" s="273" t="s">
        <v>269</v>
      </c>
      <c r="G121" s="86"/>
      <c r="H121" s="86"/>
      <c r="I121" s="86"/>
      <c r="J121" s="86"/>
      <c r="K121" s="86"/>
      <c r="L121" s="86"/>
      <c r="M121" s="86"/>
      <c r="N121" s="86"/>
      <c r="O121" s="86"/>
      <c r="P121" s="86"/>
      <c r="Q121" s="86"/>
      <c r="R121" s="86"/>
      <c r="S121" s="86"/>
      <c r="T121" s="86"/>
      <c r="U121" s="86"/>
      <c r="V121" s="139"/>
      <c r="W121" s="139"/>
      <c r="X121" s="86"/>
      <c r="Y121" s="86"/>
      <c r="Z121" s="138"/>
    </row>
    <row r="122" spans="1:26" ht="33.75" customHeight="1">
      <c r="A122" s="273">
        <v>121</v>
      </c>
      <c r="B122" s="270" t="s">
        <v>2830</v>
      </c>
      <c r="C122" s="396">
        <f>DATE(2010,11,1)</f>
        <v>40483</v>
      </c>
      <c r="D122" s="395" t="s">
        <v>2544</v>
      </c>
      <c r="E122" s="273" t="s">
        <v>2831</v>
      </c>
      <c r="F122" s="273" t="s">
        <v>2832</v>
      </c>
      <c r="G122" s="86"/>
      <c r="H122" s="86"/>
      <c r="I122" s="139"/>
      <c r="J122" s="86"/>
      <c r="K122" s="139"/>
      <c r="L122" s="86"/>
      <c r="M122" s="86"/>
      <c r="N122" s="86"/>
      <c r="O122" s="86"/>
      <c r="P122" s="86"/>
      <c r="Q122" s="86"/>
      <c r="R122" s="86"/>
      <c r="S122" s="86"/>
      <c r="T122" s="86"/>
      <c r="U122" s="86"/>
      <c r="V122" s="139"/>
      <c r="W122" s="139"/>
      <c r="X122" s="86"/>
      <c r="Y122" s="86"/>
      <c r="Z122" s="138"/>
    </row>
    <row r="123" spans="1:26" ht="33.75" customHeight="1">
      <c r="A123" s="273">
        <v>122</v>
      </c>
      <c r="B123" s="270" t="s">
        <v>2833</v>
      </c>
      <c r="C123" s="396">
        <f>DATE(2010,11,8)</f>
        <v>40490</v>
      </c>
      <c r="D123" s="395" t="s">
        <v>2544</v>
      </c>
      <c r="E123" s="273" t="s">
        <v>2834</v>
      </c>
      <c r="F123" s="273" t="s">
        <v>2832</v>
      </c>
      <c r="G123" s="86"/>
      <c r="H123" s="86"/>
      <c r="I123" s="139"/>
      <c r="J123" s="86"/>
      <c r="K123" s="139"/>
      <c r="L123" s="86"/>
      <c r="M123" s="86"/>
      <c r="N123" s="86"/>
      <c r="O123" s="86"/>
      <c r="P123" s="86"/>
      <c r="Q123" s="86"/>
      <c r="R123" s="86"/>
      <c r="S123" s="86"/>
      <c r="T123" s="86"/>
      <c r="U123" s="86"/>
      <c r="V123" s="139"/>
      <c r="W123" s="139"/>
      <c r="X123" s="86"/>
      <c r="Y123" s="86"/>
      <c r="Z123" s="138"/>
    </row>
    <row r="124" spans="1:26" ht="33.75" customHeight="1">
      <c r="A124" s="273">
        <v>123</v>
      </c>
      <c r="B124" s="270" t="s">
        <v>2835</v>
      </c>
      <c r="C124" s="396">
        <f>DATE(2010,11,15)</f>
        <v>40497</v>
      </c>
      <c r="D124" s="395" t="s">
        <v>2544</v>
      </c>
      <c r="E124" s="273" t="s">
        <v>2836</v>
      </c>
      <c r="F124" s="273" t="s">
        <v>2837</v>
      </c>
      <c r="G124" s="86"/>
      <c r="H124" s="86"/>
      <c r="I124" s="139"/>
      <c r="J124" s="86"/>
      <c r="K124" s="139"/>
      <c r="L124" s="86"/>
      <c r="M124" s="86"/>
      <c r="N124" s="86"/>
      <c r="O124" s="86"/>
      <c r="P124" s="86"/>
      <c r="Q124" s="86"/>
      <c r="R124" s="86"/>
      <c r="S124" s="86"/>
      <c r="T124" s="86"/>
      <c r="U124" s="86"/>
      <c r="V124" s="139"/>
      <c r="W124" s="139"/>
      <c r="X124" s="86"/>
      <c r="Y124" s="86"/>
      <c r="Z124" s="138"/>
    </row>
    <row r="125" spans="1:26" ht="33.75" customHeight="1">
      <c r="A125" s="273">
        <v>124</v>
      </c>
      <c r="B125" s="270" t="s">
        <v>2838</v>
      </c>
      <c r="C125" s="396">
        <f>DATE(2010,11,22)</f>
        <v>40504</v>
      </c>
      <c r="D125" s="395" t="s">
        <v>2544</v>
      </c>
      <c r="E125" s="273" t="s">
        <v>2839</v>
      </c>
      <c r="F125" s="273" t="s">
        <v>2840</v>
      </c>
      <c r="G125" s="86"/>
      <c r="H125" s="86"/>
      <c r="I125" s="86"/>
      <c r="J125" s="86"/>
      <c r="K125" s="86"/>
      <c r="L125" s="86"/>
      <c r="M125" s="86"/>
      <c r="N125" s="86"/>
      <c r="O125" s="86"/>
      <c r="P125" s="86"/>
      <c r="Q125" s="86"/>
      <c r="R125" s="86"/>
      <c r="S125" s="86"/>
      <c r="T125" s="86"/>
      <c r="U125" s="86"/>
      <c r="V125" s="139"/>
      <c r="W125" s="139"/>
      <c r="X125" s="86"/>
      <c r="Y125" s="86"/>
      <c r="Z125" s="138"/>
    </row>
    <row r="126" spans="1:26" ht="33.75" customHeight="1">
      <c r="A126" s="273">
        <v>125</v>
      </c>
      <c r="B126" s="270" t="s">
        <v>2841</v>
      </c>
      <c r="C126" s="396">
        <f>DATE(2010,11,29)</f>
        <v>40511</v>
      </c>
      <c r="D126" s="395" t="s">
        <v>2544</v>
      </c>
      <c r="E126" s="273" t="s">
        <v>2842</v>
      </c>
      <c r="F126" s="273" t="s">
        <v>2840</v>
      </c>
      <c r="G126" s="86"/>
      <c r="H126" s="86"/>
      <c r="I126" s="86"/>
      <c r="J126" s="86"/>
      <c r="K126" s="86"/>
      <c r="L126" s="86"/>
      <c r="M126" s="86"/>
      <c r="N126" s="86"/>
      <c r="O126" s="86"/>
      <c r="P126" s="86"/>
      <c r="Q126" s="86"/>
      <c r="R126" s="86"/>
      <c r="S126" s="86"/>
      <c r="T126" s="86"/>
      <c r="U126" s="86"/>
      <c r="V126" s="139"/>
      <c r="W126" s="139"/>
      <c r="X126" s="86"/>
      <c r="Y126" s="86"/>
      <c r="Z126" s="138"/>
    </row>
    <row r="127" spans="1:26" ht="33.75" customHeight="1">
      <c r="A127" s="273">
        <v>126</v>
      </c>
      <c r="B127" s="270" t="s">
        <v>2843</v>
      </c>
      <c r="C127" s="396">
        <f>DATE(2010,12,6)</f>
        <v>40518</v>
      </c>
      <c r="D127" s="395" t="s">
        <v>2544</v>
      </c>
      <c r="E127" s="273" t="s">
        <v>2844</v>
      </c>
      <c r="F127" s="273" t="s">
        <v>1498</v>
      </c>
      <c r="G127" s="86"/>
      <c r="H127" s="86"/>
      <c r="I127" s="86"/>
      <c r="J127" s="86"/>
      <c r="K127" s="86"/>
      <c r="L127" s="86"/>
      <c r="M127" s="86"/>
      <c r="N127" s="86"/>
      <c r="O127" s="86"/>
      <c r="P127" s="86"/>
      <c r="Q127" s="86"/>
      <c r="R127" s="86"/>
      <c r="S127" s="86"/>
      <c r="T127" s="86"/>
      <c r="U127" s="86"/>
      <c r="V127" s="139"/>
      <c r="W127" s="139"/>
      <c r="X127" s="86"/>
      <c r="Y127" s="86"/>
      <c r="Z127" s="138"/>
    </row>
    <row r="128" spans="1:26" ht="33.75" customHeight="1">
      <c r="A128" s="273">
        <v>127</v>
      </c>
      <c r="B128" s="270" t="s">
        <v>2845</v>
      </c>
      <c r="C128" s="396">
        <f>DATE(2010,12,20)</f>
        <v>40532</v>
      </c>
      <c r="D128" s="395" t="s">
        <v>2544</v>
      </c>
      <c r="E128" s="273" t="s">
        <v>2846</v>
      </c>
      <c r="F128" s="273" t="s">
        <v>2847</v>
      </c>
      <c r="G128" s="86"/>
      <c r="H128" s="86"/>
      <c r="I128" s="86"/>
      <c r="J128" s="86"/>
      <c r="K128" s="86"/>
      <c r="L128" s="86"/>
      <c r="M128" s="86"/>
      <c r="N128" s="86"/>
      <c r="O128" s="86"/>
      <c r="P128" s="86"/>
      <c r="Q128" s="86"/>
      <c r="R128" s="86"/>
      <c r="S128" s="86"/>
      <c r="T128" s="86"/>
      <c r="U128" s="86"/>
      <c r="V128" s="139"/>
      <c r="W128" s="139"/>
      <c r="X128" s="86"/>
      <c r="Y128" s="86"/>
      <c r="Z128" s="138"/>
    </row>
    <row r="129" spans="1:26" ht="33.75" customHeight="1">
      <c r="A129" s="273">
        <v>128</v>
      </c>
      <c r="B129" s="270" t="s">
        <v>2848</v>
      </c>
      <c r="C129" s="396">
        <f>DATE(2010,12,27)</f>
        <v>40539</v>
      </c>
      <c r="D129" s="395" t="s">
        <v>2544</v>
      </c>
      <c r="E129" s="273" t="s">
        <v>2849</v>
      </c>
      <c r="F129" s="273" t="s">
        <v>2847</v>
      </c>
      <c r="G129" s="86"/>
      <c r="H129" s="86"/>
      <c r="I129" s="86"/>
      <c r="J129" s="86"/>
      <c r="K129" s="86"/>
      <c r="L129" s="86"/>
      <c r="M129" s="86"/>
      <c r="N129" s="86"/>
      <c r="O129" s="86"/>
      <c r="P129" s="86"/>
      <c r="Q129" s="86"/>
      <c r="R129" s="86"/>
      <c r="S129" s="86"/>
      <c r="T129" s="86"/>
      <c r="U129" s="86"/>
      <c r="V129" s="139"/>
      <c r="W129" s="139"/>
      <c r="X129" s="86"/>
      <c r="Y129" s="86"/>
      <c r="Z129" s="138"/>
    </row>
    <row r="130" spans="1:26" ht="33.75" customHeight="1">
      <c r="A130" s="273">
        <v>129</v>
      </c>
      <c r="B130" s="270" t="s">
        <v>2850</v>
      </c>
      <c r="C130" s="396">
        <f>DATE(2010,12,31)</f>
        <v>40543</v>
      </c>
      <c r="D130" s="395" t="s">
        <v>2544</v>
      </c>
      <c r="E130" s="273" t="s">
        <v>2851</v>
      </c>
      <c r="F130" s="273" t="s">
        <v>21</v>
      </c>
      <c r="G130" s="86"/>
      <c r="H130" s="86"/>
      <c r="I130" s="86"/>
      <c r="J130" s="86"/>
      <c r="K130" s="86"/>
      <c r="L130" s="86"/>
      <c r="M130" s="86"/>
      <c r="N130" s="86"/>
      <c r="O130" s="86"/>
      <c r="P130" s="86"/>
      <c r="Q130" s="86"/>
      <c r="R130" s="86"/>
      <c r="S130" s="86"/>
      <c r="T130" s="86"/>
      <c r="U130" s="86"/>
      <c r="V130" s="139"/>
      <c r="W130" s="139"/>
      <c r="X130" s="86"/>
      <c r="Y130" s="86"/>
      <c r="Z130" s="138"/>
    </row>
    <row r="131" spans="1:26" ht="33.75" customHeight="1">
      <c r="A131" s="273">
        <v>130</v>
      </c>
      <c r="B131" s="270" t="s">
        <v>2852</v>
      </c>
      <c r="C131" s="396">
        <f>DATE(2011,1,13)</f>
        <v>40556</v>
      </c>
      <c r="D131" s="395" t="s">
        <v>2544</v>
      </c>
      <c r="E131" s="273" t="s">
        <v>2853</v>
      </c>
      <c r="F131" s="273" t="s">
        <v>2854</v>
      </c>
      <c r="G131" s="86"/>
      <c r="H131" s="86"/>
      <c r="I131" s="86"/>
      <c r="J131" s="86"/>
      <c r="K131" s="86"/>
      <c r="L131" s="86"/>
      <c r="M131" s="86"/>
      <c r="N131" s="86"/>
      <c r="O131" s="86"/>
      <c r="P131" s="86"/>
      <c r="Q131" s="86"/>
      <c r="R131" s="86"/>
      <c r="S131" s="86"/>
      <c r="T131" s="86"/>
      <c r="U131" s="86"/>
      <c r="V131" s="139"/>
      <c r="W131" s="139"/>
      <c r="X131" s="86"/>
      <c r="Y131" s="86"/>
      <c r="Z131" s="138"/>
    </row>
    <row r="132" spans="1:26" ht="33.75" customHeight="1">
      <c r="A132" s="273">
        <v>131</v>
      </c>
      <c r="B132" s="270" t="s">
        <v>2855</v>
      </c>
      <c r="C132" s="396">
        <f>DATE(2011,1,17)</f>
        <v>40560</v>
      </c>
      <c r="D132" s="395" t="s">
        <v>2544</v>
      </c>
      <c r="E132" s="273" t="s">
        <v>2856</v>
      </c>
      <c r="F132" s="273" t="s">
        <v>2775</v>
      </c>
      <c r="G132" s="86"/>
      <c r="H132" s="86"/>
      <c r="I132" s="86"/>
      <c r="J132" s="86"/>
      <c r="K132" s="86"/>
      <c r="L132" s="86"/>
      <c r="M132" s="86"/>
      <c r="N132" s="86"/>
      <c r="O132" s="86"/>
      <c r="P132" s="86"/>
      <c r="Q132" s="86"/>
      <c r="R132" s="86"/>
      <c r="S132" s="86"/>
      <c r="T132" s="86"/>
      <c r="U132" s="86"/>
      <c r="V132" s="139"/>
      <c r="W132" s="139"/>
      <c r="X132" s="86"/>
      <c r="Y132" s="86"/>
      <c r="Z132" s="138"/>
    </row>
    <row r="133" spans="1:26" ht="33.75" customHeight="1">
      <c r="A133" s="273">
        <v>132</v>
      </c>
      <c r="B133" s="270" t="s">
        <v>2857</v>
      </c>
      <c r="C133" s="396">
        <f>DATE(2011,1,24)</f>
        <v>40567</v>
      </c>
      <c r="D133" s="395" t="s">
        <v>2544</v>
      </c>
      <c r="E133" s="273" t="s">
        <v>2858</v>
      </c>
      <c r="F133" s="273" t="s">
        <v>2859</v>
      </c>
      <c r="G133" s="86"/>
      <c r="H133" s="86"/>
      <c r="I133" s="86"/>
      <c r="J133" s="86"/>
      <c r="K133" s="86"/>
      <c r="L133" s="86"/>
      <c r="M133" s="86"/>
      <c r="N133" s="86"/>
      <c r="O133" s="86"/>
      <c r="P133" s="86"/>
      <c r="Q133" s="86"/>
      <c r="R133" s="86"/>
      <c r="S133" s="86"/>
      <c r="T133" s="86"/>
      <c r="U133" s="86"/>
      <c r="V133" s="139"/>
      <c r="W133" s="139"/>
      <c r="X133" s="86"/>
      <c r="Y133" s="86"/>
      <c r="Z133" s="138"/>
    </row>
    <row r="134" spans="1:26" ht="33.75" customHeight="1">
      <c r="A134" s="273">
        <v>133</v>
      </c>
      <c r="B134" s="270" t="s">
        <v>2860</v>
      </c>
      <c r="C134" s="396">
        <f>DATE(2011,1,31)</f>
        <v>40574</v>
      </c>
      <c r="D134" s="395" t="s">
        <v>2544</v>
      </c>
      <c r="E134" s="273" t="s">
        <v>2861</v>
      </c>
      <c r="F134" s="273" t="s">
        <v>2859</v>
      </c>
      <c r="G134" s="86"/>
      <c r="H134" s="86"/>
      <c r="I134" s="86"/>
      <c r="J134" s="86"/>
      <c r="K134" s="86"/>
      <c r="L134" s="86"/>
      <c r="M134" s="86"/>
      <c r="N134" s="86"/>
      <c r="O134" s="86"/>
      <c r="P134" s="86"/>
      <c r="Q134" s="86"/>
      <c r="R134" s="86"/>
      <c r="S134" s="86"/>
      <c r="T134" s="86"/>
      <c r="U134" s="86"/>
      <c r="V134" s="139"/>
      <c r="W134" s="139"/>
      <c r="X134" s="86"/>
      <c r="Y134" s="86"/>
      <c r="Z134" s="138"/>
    </row>
    <row r="135" spans="1:26" ht="33.75" customHeight="1">
      <c r="A135" s="273">
        <v>134</v>
      </c>
      <c r="B135" s="270" t="s">
        <v>2862</v>
      </c>
      <c r="C135" s="396">
        <f>DATE(2011,2,7)</f>
        <v>40581</v>
      </c>
      <c r="D135" s="395" t="s">
        <v>2544</v>
      </c>
      <c r="E135" s="273" t="s">
        <v>2863</v>
      </c>
      <c r="F135" s="273" t="s">
        <v>2864</v>
      </c>
      <c r="G135" s="86"/>
      <c r="H135" s="86"/>
      <c r="I135" s="86"/>
      <c r="J135" s="86"/>
      <c r="K135" s="86"/>
      <c r="L135" s="86"/>
      <c r="M135" s="86"/>
      <c r="N135" s="86"/>
      <c r="O135" s="86"/>
      <c r="P135" s="86"/>
      <c r="Q135" s="86"/>
      <c r="R135" s="86"/>
      <c r="S135" s="86"/>
      <c r="T135" s="86"/>
      <c r="U135" s="86"/>
      <c r="V135" s="139"/>
      <c r="W135" s="139"/>
      <c r="X135" s="86"/>
      <c r="Y135" s="86"/>
      <c r="Z135" s="138"/>
    </row>
    <row r="136" spans="1:26" ht="33.75" customHeight="1">
      <c r="A136" s="273">
        <v>135</v>
      </c>
      <c r="B136" s="270" t="s">
        <v>2865</v>
      </c>
      <c r="C136" s="396">
        <f>DATE(2011,2,14)</f>
        <v>40588</v>
      </c>
      <c r="D136" s="395" t="s">
        <v>2544</v>
      </c>
      <c r="E136" s="273" t="s">
        <v>2866</v>
      </c>
      <c r="F136" s="273" t="s">
        <v>2864</v>
      </c>
      <c r="G136" s="86"/>
      <c r="H136" s="86"/>
      <c r="I136" s="86"/>
      <c r="J136" s="86"/>
      <c r="K136" s="86"/>
      <c r="L136" s="86"/>
      <c r="M136" s="86"/>
      <c r="N136" s="86"/>
      <c r="O136" s="86"/>
      <c r="P136" s="86"/>
      <c r="Q136" s="86"/>
      <c r="R136" s="86"/>
      <c r="S136" s="86"/>
      <c r="T136" s="86"/>
      <c r="U136" s="86"/>
      <c r="V136" s="139"/>
      <c r="W136" s="139"/>
      <c r="X136" s="86"/>
      <c r="Y136" s="86"/>
      <c r="Z136" s="138"/>
    </row>
    <row r="137" spans="1:26" ht="33.75" customHeight="1">
      <c r="A137" s="273">
        <v>136</v>
      </c>
      <c r="B137" s="270" t="s">
        <v>2867</v>
      </c>
      <c r="C137" s="396">
        <f>DATE(2011,2,21)</f>
        <v>40595</v>
      </c>
      <c r="D137" s="395" t="s">
        <v>2544</v>
      </c>
      <c r="E137" s="273" t="s">
        <v>2868</v>
      </c>
      <c r="F137" s="273" t="s">
        <v>2869</v>
      </c>
      <c r="G137" s="86"/>
      <c r="H137" s="86"/>
      <c r="I137" s="86"/>
      <c r="J137" s="86"/>
      <c r="K137" s="86"/>
      <c r="L137" s="86"/>
      <c r="M137" s="86"/>
      <c r="N137" s="86"/>
      <c r="O137" s="86"/>
      <c r="P137" s="86"/>
      <c r="Q137" s="86"/>
      <c r="R137" s="86"/>
      <c r="S137" s="86"/>
      <c r="T137" s="86"/>
      <c r="U137" s="86"/>
      <c r="V137" s="139"/>
      <c r="W137" s="139"/>
      <c r="X137" s="86"/>
      <c r="Y137" s="86"/>
      <c r="Z137" s="138"/>
    </row>
    <row r="138" spans="1:26" ht="33.75" customHeight="1">
      <c r="A138" s="273">
        <v>137</v>
      </c>
      <c r="B138" s="270" t="s">
        <v>2870</v>
      </c>
      <c r="C138" s="396">
        <f>DATE(2011,2,28)</f>
        <v>40602</v>
      </c>
      <c r="D138" s="395" t="s">
        <v>2544</v>
      </c>
      <c r="E138" s="273" t="s">
        <v>2871</v>
      </c>
      <c r="F138" s="273" t="s">
        <v>2869</v>
      </c>
      <c r="G138" s="86"/>
      <c r="H138" s="86"/>
      <c r="I138" s="86"/>
      <c r="J138" s="86"/>
      <c r="K138" s="86"/>
      <c r="L138" s="86"/>
      <c r="M138" s="86"/>
      <c r="N138" s="86"/>
      <c r="O138" s="86"/>
      <c r="P138" s="86"/>
      <c r="Q138" s="86"/>
      <c r="R138" s="86"/>
      <c r="S138" s="86"/>
      <c r="T138" s="86"/>
      <c r="U138" s="86"/>
      <c r="V138" s="139"/>
      <c r="W138" s="139"/>
      <c r="X138" s="86"/>
      <c r="Y138" s="86"/>
      <c r="Z138" s="138"/>
    </row>
    <row r="139" spans="1:26" ht="33.75" customHeight="1">
      <c r="A139" s="273">
        <v>138</v>
      </c>
      <c r="B139" s="270" t="s">
        <v>2872</v>
      </c>
      <c r="C139" s="396">
        <f>DATE(2011,5,2)</f>
        <v>40665</v>
      </c>
      <c r="D139" s="395" t="s">
        <v>2544</v>
      </c>
      <c r="E139" s="273" t="s">
        <v>2873</v>
      </c>
      <c r="F139" s="273" t="s">
        <v>2874</v>
      </c>
      <c r="G139" s="86"/>
      <c r="H139" s="86"/>
      <c r="I139" s="86"/>
      <c r="J139" s="86"/>
      <c r="K139" s="86"/>
      <c r="L139" s="86"/>
      <c r="M139" s="86"/>
      <c r="N139" s="86"/>
      <c r="O139" s="86"/>
      <c r="P139" s="86"/>
      <c r="Q139" s="86"/>
      <c r="R139" s="86"/>
      <c r="S139" s="86"/>
      <c r="T139" s="86"/>
      <c r="U139" s="86"/>
      <c r="V139" s="139"/>
      <c r="W139" s="139"/>
      <c r="X139" s="86"/>
      <c r="Y139" s="86"/>
      <c r="Z139" s="138"/>
    </row>
    <row r="140" spans="1:26" ht="33.75" customHeight="1">
      <c r="A140" s="273">
        <v>139</v>
      </c>
      <c r="B140" s="270" t="s">
        <v>2875</v>
      </c>
      <c r="C140" s="396">
        <f>DATE(2011,5,9)</f>
        <v>40672</v>
      </c>
      <c r="D140" s="395" t="s">
        <v>2544</v>
      </c>
      <c r="E140" s="273" t="s">
        <v>2876</v>
      </c>
      <c r="F140" s="273" t="s">
        <v>2874</v>
      </c>
      <c r="G140" s="86"/>
      <c r="H140" s="86"/>
      <c r="I140" s="86"/>
      <c r="J140" s="86"/>
      <c r="K140" s="86"/>
      <c r="L140" s="86"/>
      <c r="M140" s="86"/>
      <c r="N140" s="86"/>
      <c r="O140" s="86"/>
      <c r="P140" s="86"/>
      <c r="Q140" s="86"/>
      <c r="R140" s="86"/>
      <c r="S140" s="86"/>
      <c r="T140" s="86"/>
      <c r="U140" s="86"/>
      <c r="V140" s="139"/>
      <c r="W140" s="139"/>
      <c r="X140" s="86"/>
      <c r="Y140" s="86"/>
      <c r="Z140" s="138"/>
    </row>
    <row r="141" spans="1:26" ht="33.75" customHeight="1">
      <c r="A141" s="273">
        <v>140</v>
      </c>
      <c r="B141" s="270" t="s">
        <v>2877</v>
      </c>
      <c r="C141" s="396">
        <f>DATE(2011,5,16)</f>
        <v>40679</v>
      </c>
      <c r="D141" s="395" t="s">
        <v>2544</v>
      </c>
      <c r="E141" s="273" t="s">
        <v>2878</v>
      </c>
      <c r="F141" s="273" t="s">
        <v>2879</v>
      </c>
      <c r="G141" s="86"/>
      <c r="H141" s="86"/>
      <c r="I141" s="86"/>
      <c r="J141" s="86"/>
      <c r="K141" s="86"/>
      <c r="L141" s="86"/>
      <c r="M141" s="86"/>
      <c r="N141" s="86"/>
      <c r="O141" s="86"/>
      <c r="P141" s="86"/>
      <c r="Q141" s="86"/>
      <c r="R141" s="86"/>
      <c r="S141" s="86"/>
      <c r="T141" s="86"/>
      <c r="U141" s="86"/>
      <c r="V141" s="139"/>
      <c r="W141" s="139"/>
      <c r="X141" s="86"/>
      <c r="Y141" s="86"/>
      <c r="Z141" s="138"/>
    </row>
    <row r="142" spans="1:26" ht="33.75" customHeight="1">
      <c r="A142" s="273">
        <v>141</v>
      </c>
      <c r="B142" s="270" t="s">
        <v>2880</v>
      </c>
      <c r="C142" s="396">
        <f>DATE(2011,5,23)</f>
        <v>40686</v>
      </c>
      <c r="D142" s="395" t="s">
        <v>2544</v>
      </c>
      <c r="E142" s="273" t="s">
        <v>2881</v>
      </c>
      <c r="F142" s="273" t="s">
        <v>2879</v>
      </c>
      <c r="G142" s="86"/>
      <c r="H142" s="86"/>
      <c r="I142" s="86"/>
      <c r="J142" s="86"/>
      <c r="K142" s="86"/>
      <c r="L142" s="86"/>
      <c r="M142" s="86"/>
      <c r="N142" s="86"/>
      <c r="O142" s="86"/>
      <c r="P142" s="86"/>
      <c r="Q142" s="86"/>
      <c r="R142" s="86"/>
      <c r="S142" s="86"/>
      <c r="T142" s="86"/>
      <c r="U142" s="86"/>
      <c r="V142" s="139"/>
      <c r="W142" s="139"/>
      <c r="X142" s="86"/>
      <c r="Y142" s="86"/>
      <c r="Z142" s="138"/>
    </row>
    <row r="143" spans="1:26" ht="33.75" customHeight="1">
      <c r="A143" s="273">
        <v>142</v>
      </c>
      <c r="B143" s="270" t="s">
        <v>2882</v>
      </c>
      <c r="C143" s="396">
        <f>DATE(2011,5,30)</f>
        <v>40693</v>
      </c>
      <c r="D143" s="395" t="s">
        <v>2544</v>
      </c>
      <c r="E143" s="273" t="s">
        <v>2883</v>
      </c>
      <c r="F143" s="273" t="s">
        <v>21</v>
      </c>
      <c r="G143" s="86"/>
      <c r="H143" s="86"/>
      <c r="I143" s="86"/>
      <c r="J143" s="86"/>
      <c r="K143" s="86"/>
      <c r="L143" s="86"/>
      <c r="M143" s="86"/>
      <c r="N143" s="86"/>
      <c r="O143" s="86"/>
      <c r="P143" s="86"/>
      <c r="Q143" s="86"/>
      <c r="R143" s="86"/>
      <c r="S143" s="86"/>
      <c r="T143" s="86"/>
      <c r="U143" s="86"/>
      <c r="V143" s="139"/>
      <c r="W143" s="139"/>
      <c r="X143" s="86"/>
      <c r="Y143" s="86"/>
      <c r="Z143" s="138"/>
    </row>
    <row r="144" spans="1:26" ht="33.75" customHeight="1">
      <c r="A144" s="273">
        <v>143</v>
      </c>
      <c r="B144" s="270" t="s">
        <v>2884</v>
      </c>
      <c r="C144" s="396">
        <f>DATE(2011,6,6)</f>
        <v>40700</v>
      </c>
      <c r="D144" s="395" t="s">
        <v>2544</v>
      </c>
      <c r="E144" s="273" t="s">
        <v>2885</v>
      </c>
      <c r="F144" s="273" t="s">
        <v>2886</v>
      </c>
      <c r="G144" s="86"/>
      <c r="H144" s="86"/>
      <c r="I144" s="86"/>
      <c r="J144" s="86"/>
      <c r="K144" s="86"/>
      <c r="L144" s="86"/>
      <c r="M144" s="86"/>
      <c r="N144" s="86"/>
      <c r="O144" s="86"/>
      <c r="P144" s="86"/>
      <c r="Q144" s="86"/>
      <c r="R144" s="86"/>
      <c r="S144" s="86"/>
      <c r="T144" s="86"/>
      <c r="U144" s="86"/>
      <c r="V144" s="139"/>
      <c r="W144" s="139"/>
      <c r="X144" s="86"/>
      <c r="Y144" s="86"/>
      <c r="Z144" s="138"/>
    </row>
    <row r="145" spans="1:26" ht="33.75" customHeight="1">
      <c r="A145" s="273">
        <v>144</v>
      </c>
      <c r="B145" s="270" t="s">
        <v>2887</v>
      </c>
      <c r="C145" s="396">
        <f>DATE(2011,6,13)</f>
        <v>40707</v>
      </c>
      <c r="D145" s="395" t="s">
        <v>2544</v>
      </c>
      <c r="E145" s="273" t="s">
        <v>2888</v>
      </c>
      <c r="F145" s="273" t="s">
        <v>2889</v>
      </c>
      <c r="G145" s="86"/>
      <c r="H145" s="86"/>
      <c r="I145" s="86"/>
      <c r="J145" s="86"/>
      <c r="K145" s="86"/>
      <c r="L145" s="86"/>
      <c r="M145" s="86"/>
      <c r="N145" s="86"/>
      <c r="O145" s="86"/>
      <c r="P145" s="86"/>
      <c r="Q145" s="86"/>
      <c r="R145" s="86"/>
      <c r="S145" s="86"/>
      <c r="T145" s="86"/>
      <c r="U145" s="86"/>
      <c r="V145" s="139"/>
      <c r="W145" s="139"/>
      <c r="X145" s="86"/>
      <c r="Y145" s="86"/>
      <c r="Z145" s="138"/>
    </row>
    <row r="146" spans="1:26" ht="33.75" customHeight="1">
      <c r="A146" s="273">
        <v>145</v>
      </c>
      <c r="B146" s="270" t="s">
        <v>2890</v>
      </c>
      <c r="C146" s="396">
        <f>DATE(2011,6,20)</f>
        <v>40714</v>
      </c>
      <c r="D146" s="395" t="s">
        <v>2544</v>
      </c>
      <c r="E146" s="273" t="s">
        <v>2891</v>
      </c>
      <c r="F146" s="273" t="s">
        <v>2889</v>
      </c>
      <c r="G146" s="86"/>
      <c r="H146" s="86"/>
      <c r="I146" s="86"/>
      <c r="J146" s="86"/>
      <c r="K146" s="86"/>
      <c r="L146" s="86"/>
      <c r="M146" s="86"/>
      <c r="N146" s="86"/>
      <c r="O146" s="86"/>
      <c r="P146" s="86"/>
      <c r="Q146" s="86"/>
      <c r="R146" s="86"/>
      <c r="S146" s="86"/>
      <c r="T146" s="86"/>
      <c r="U146" s="86"/>
      <c r="V146" s="139"/>
      <c r="W146" s="139"/>
      <c r="X146" s="86"/>
      <c r="Y146" s="86"/>
      <c r="Z146" s="138"/>
    </row>
    <row r="147" spans="1:26" ht="33.75" customHeight="1">
      <c r="A147" s="273">
        <v>146</v>
      </c>
      <c r="B147" s="270" t="s">
        <v>2892</v>
      </c>
      <c r="C147" s="396">
        <f t="shared" ref="C147" si="4">DATE(2011,6,20)</f>
        <v>40714</v>
      </c>
      <c r="D147" s="395" t="s">
        <v>2544</v>
      </c>
      <c r="E147" s="273" t="s">
        <v>2893</v>
      </c>
      <c r="F147" s="273" t="s">
        <v>2889</v>
      </c>
      <c r="G147" s="86"/>
      <c r="H147" s="86"/>
      <c r="I147" s="86"/>
      <c r="J147" s="86"/>
      <c r="K147" s="86"/>
      <c r="L147" s="86"/>
      <c r="M147" s="86"/>
      <c r="N147" s="86"/>
      <c r="O147" s="86"/>
      <c r="P147" s="86"/>
      <c r="Q147" s="86"/>
      <c r="R147" s="86"/>
      <c r="S147" s="86"/>
      <c r="T147" s="86"/>
      <c r="U147" s="86"/>
      <c r="V147" s="139"/>
      <c r="W147" s="139"/>
      <c r="X147" s="86"/>
      <c r="Y147" s="86"/>
      <c r="Z147" s="138"/>
    </row>
    <row r="148" spans="1:26" ht="33.75" customHeight="1">
      <c r="A148" s="273">
        <v>147</v>
      </c>
      <c r="B148" s="270" t="s">
        <v>2894</v>
      </c>
      <c r="C148" s="396">
        <f>DATE(2011,8,4)</f>
        <v>40759</v>
      </c>
      <c r="D148" s="395" t="s">
        <v>2544</v>
      </c>
      <c r="E148" s="273" t="s">
        <v>2895</v>
      </c>
      <c r="F148" s="273" t="s">
        <v>21</v>
      </c>
      <c r="G148" s="86"/>
      <c r="H148" s="86"/>
      <c r="I148" s="86"/>
      <c r="J148" s="86"/>
      <c r="K148" s="86"/>
      <c r="L148" s="86"/>
      <c r="M148" s="86"/>
      <c r="N148" s="86"/>
      <c r="O148" s="86"/>
      <c r="P148" s="86"/>
      <c r="Q148" s="86"/>
      <c r="R148" s="86"/>
      <c r="S148" s="86"/>
      <c r="T148" s="86"/>
      <c r="U148" s="86"/>
      <c r="V148" s="139"/>
      <c r="W148" s="139"/>
      <c r="X148" s="86"/>
      <c r="Y148" s="86"/>
      <c r="Z148" s="138"/>
    </row>
    <row r="149" spans="1:26" ht="33.75" customHeight="1">
      <c r="A149" s="273">
        <v>148</v>
      </c>
      <c r="B149" s="270" t="s">
        <v>2896</v>
      </c>
      <c r="C149" s="396">
        <f>DATE(2011,8,4)</f>
        <v>40759</v>
      </c>
      <c r="D149" s="395" t="s">
        <v>2544</v>
      </c>
      <c r="E149" s="273" t="s">
        <v>2897</v>
      </c>
      <c r="F149" s="273" t="s">
        <v>2898</v>
      </c>
      <c r="G149" s="86"/>
      <c r="H149" s="86"/>
      <c r="I149" s="86"/>
      <c r="J149" s="86"/>
      <c r="K149" s="86"/>
      <c r="L149" s="86"/>
      <c r="M149" s="86"/>
      <c r="N149" s="86"/>
      <c r="O149" s="86"/>
      <c r="P149" s="86"/>
      <c r="Q149" s="86"/>
      <c r="R149" s="86"/>
      <c r="S149" s="86"/>
      <c r="T149" s="86"/>
      <c r="U149" s="86"/>
      <c r="V149" s="139"/>
      <c r="W149" s="139"/>
      <c r="X149" s="86"/>
      <c r="Y149" s="86"/>
      <c r="Z149" s="138"/>
    </row>
    <row r="150" spans="1:26" ht="33.75" customHeight="1">
      <c r="A150" s="273">
        <v>149</v>
      </c>
      <c r="B150" s="270" t="s">
        <v>2899</v>
      </c>
      <c r="C150" s="396">
        <v>40759</v>
      </c>
      <c r="D150" s="395" t="s">
        <v>2544</v>
      </c>
      <c r="E150" s="273" t="s">
        <v>2900</v>
      </c>
      <c r="F150" s="273" t="s">
        <v>21</v>
      </c>
      <c r="G150" s="86"/>
      <c r="H150" s="86"/>
      <c r="I150" s="86"/>
      <c r="J150" s="86"/>
      <c r="K150" s="86"/>
      <c r="L150" s="86"/>
      <c r="M150" s="86"/>
      <c r="N150" s="86"/>
      <c r="O150" s="86"/>
      <c r="P150" s="86"/>
      <c r="Q150" s="86"/>
      <c r="R150" s="86"/>
      <c r="S150" s="86"/>
      <c r="T150" s="86"/>
      <c r="U150" s="86"/>
      <c r="V150" s="139"/>
      <c r="W150" s="139"/>
      <c r="X150" s="86"/>
      <c r="Y150" s="86"/>
      <c r="Z150" s="138"/>
    </row>
    <row r="151" spans="1:26" ht="33.75" customHeight="1">
      <c r="A151" s="273">
        <v>150</v>
      </c>
      <c r="B151" s="270" t="s">
        <v>2901</v>
      </c>
      <c r="C151" s="396">
        <f>DATE(2013,3,13)</f>
        <v>41346</v>
      </c>
      <c r="D151" s="395" t="s">
        <v>2902</v>
      </c>
      <c r="E151" s="273" t="s">
        <v>2903</v>
      </c>
      <c r="F151" s="273" t="s">
        <v>2904</v>
      </c>
      <c r="G151" s="139"/>
      <c r="H151" s="139"/>
      <c r="I151" s="139"/>
      <c r="J151" s="139"/>
      <c r="K151" s="139"/>
      <c r="L151" s="139"/>
      <c r="M151" s="139"/>
      <c r="N151" s="139"/>
      <c r="O151" s="139"/>
      <c r="P151" s="139"/>
      <c r="Q151" s="139"/>
      <c r="R151" s="139"/>
      <c r="S151" s="139"/>
      <c r="T151" s="139"/>
      <c r="U151" s="139"/>
      <c r="V151" s="139"/>
      <c r="W151" s="139"/>
      <c r="X151" s="139"/>
      <c r="Y151" s="139"/>
      <c r="Z151" s="41"/>
    </row>
    <row r="152" spans="1:26" ht="33.75" customHeight="1">
      <c r="A152" s="273">
        <v>151</v>
      </c>
      <c r="B152" s="270" t="s">
        <v>2905</v>
      </c>
      <c r="C152" s="396">
        <f>DATE(2013,3,7)</f>
        <v>41340</v>
      </c>
      <c r="D152" s="395" t="s">
        <v>2902</v>
      </c>
      <c r="E152" s="273" t="s">
        <v>2906</v>
      </c>
      <c r="F152" s="273" t="s">
        <v>1514</v>
      </c>
      <c r="G152" s="139"/>
      <c r="H152" s="139"/>
      <c r="I152" s="139"/>
      <c r="J152" s="139"/>
      <c r="K152" s="139"/>
      <c r="L152" s="139"/>
      <c r="M152" s="139"/>
      <c r="N152" s="139"/>
      <c r="O152" s="139"/>
      <c r="P152" s="139"/>
      <c r="Q152" s="139"/>
      <c r="R152" s="139"/>
      <c r="S152" s="139"/>
      <c r="T152" s="139"/>
      <c r="U152" s="139"/>
      <c r="V152" s="139"/>
      <c r="W152" s="139"/>
      <c r="X152" s="139"/>
      <c r="Y152" s="139"/>
      <c r="Z152" s="41"/>
    </row>
    <row r="153" spans="1:26" ht="33.75" customHeight="1">
      <c r="A153" s="273">
        <v>152</v>
      </c>
      <c r="B153" s="270" t="s">
        <v>2907</v>
      </c>
      <c r="C153" s="396">
        <f>DATE(2013,3,6)</f>
        <v>41339</v>
      </c>
      <c r="D153" s="395" t="s">
        <v>2902</v>
      </c>
      <c r="E153" s="273" t="s">
        <v>2908</v>
      </c>
      <c r="F153" s="273" t="s">
        <v>2909</v>
      </c>
      <c r="G153" s="139"/>
      <c r="H153" s="139"/>
      <c r="I153" s="139"/>
      <c r="J153" s="139"/>
      <c r="K153" s="139"/>
      <c r="L153" s="139"/>
      <c r="M153" s="139"/>
      <c r="N153" s="139"/>
      <c r="O153" s="139"/>
      <c r="P153" s="139"/>
      <c r="Q153" s="139"/>
      <c r="R153" s="139"/>
      <c r="S153" s="139"/>
      <c r="T153" s="139"/>
      <c r="U153" s="139"/>
      <c r="V153" s="139"/>
      <c r="W153" s="139"/>
      <c r="X153" s="139"/>
      <c r="Y153" s="139"/>
      <c r="Z153" s="41"/>
    </row>
    <row r="154" spans="1:26" ht="33.75" customHeight="1">
      <c r="A154" s="273">
        <v>153</v>
      </c>
      <c r="B154" s="270" t="s">
        <v>2910</v>
      </c>
      <c r="C154" s="396">
        <f>DATE(2013,3,4)</f>
        <v>41337</v>
      </c>
      <c r="D154" s="395" t="s">
        <v>2902</v>
      </c>
      <c r="E154" s="273" t="s">
        <v>2911</v>
      </c>
      <c r="F154" s="273" t="s">
        <v>2912</v>
      </c>
      <c r="G154" s="139"/>
      <c r="H154" s="139"/>
      <c r="I154" s="139"/>
      <c r="J154" s="139"/>
      <c r="K154" s="139"/>
      <c r="L154" s="139"/>
      <c r="M154" s="139"/>
      <c r="N154" s="139"/>
      <c r="O154" s="139"/>
      <c r="P154" s="139"/>
      <c r="Q154" s="139"/>
      <c r="R154" s="139"/>
      <c r="S154" s="139"/>
      <c r="T154" s="139"/>
      <c r="U154" s="139"/>
      <c r="V154" s="139"/>
      <c r="W154" s="139"/>
      <c r="X154" s="139"/>
      <c r="Y154" s="139"/>
      <c r="Z154" s="41"/>
    </row>
    <row r="155" spans="1:26" ht="33.75" customHeight="1">
      <c r="A155" s="273">
        <v>154</v>
      </c>
      <c r="B155" s="270" t="s">
        <v>2913</v>
      </c>
      <c r="C155" s="396">
        <f>DATE(2013,2,27)</f>
        <v>41332</v>
      </c>
      <c r="D155" s="395" t="s">
        <v>2902</v>
      </c>
      <c r="E155" s="273" t="s">
        <v>2914</v>
      </c>
      <c r="F155" s="273" t="s">
        <v>316</v>
      </c>
      <c r="G155" s="139"/>
      <c r="H155" s="139"/>
      <c r="I155" s="139"/>
      <c r="J155" s="139"/>
      <c r="K155" s="139"/>
      <c r="L155" s="139"/>
      <c r="M155" s="139"/>
      <c r="N155" s="139"/>
      <c r="O155" s="139"/>
      <c r="P155" s="139"/>
      <c r="Q155" s="139"/>
      <c r="R155" s="139"/>
      <c r="S155" s="139"/>
      <c r="T155" s="139"/>
      <c r="U155" s="139"/>
      <c r="V155" s="139"/>
      <c r="W155" s="139"/>
      <c r="X155" s="139"/>
      <c r="Y155" s="139"/>
      <c r="Z155" s="41"/>
    </row>
    <row r="156" spans="1:26" ht="33.75" customHeight="1">
      <c r="A156" s="273">
        <v>155</v>
      </c>
      <c r="B156" s="270" t="s">
        <v>2915</v>
      </c>
      <c r="C156" s="396">
        <f>DATE(2013,2,13)</f>
        <v>41318</v>
      </c>
      <c r="D156" s="395" t="s">
        <v>2902</v>
      </c>
      <c r="E156" s="273" t="s">
        <v>2916</v>
      </c>
      <c r="F156" s="273" t="s">
        <v>2917</v>
      </c>
      <c r="G156" s="139"/>
      <c r="H156" s="139"/>
      <c r="I156" s="139"/>
      <c r="J156" s="139"/>
      <c r="K156" s="139"/>
      <c r="L156" s="139"/>
      <c r="M156" s="139"/>
      <c r="N156" s="139"/>
      <c r="O156" s="139"/>
      <c r="P156" s="139"/>
      <c r="Q156" s="139"/>
      <c r="R156" s="139"/>
      <c r="S156" s="139"/>
      <c r="T156" s="139"/>
      <c r="U156" s="139"/>
      <c r="V156" s="139"/>
      <c r="W156" s="139"/>
      <c r="X156" s="139"/>
      <c r="Y156" s="139"/>
      <c r="Z156" s="41"/>
    </row>
    <row r="157" spans="1:26" ht="33.75" customHeight="1">
      <c r="A157" s="273">
        <v>156</v>
      </c>
      <c r="B157" s="270" t="s">
        <v>2918</v>
      </c>
      <c r="C157" s="396">
        <f>DATE(2013,2,13)</f>
        <v>41318</v>
      </c>
      <c r="D157" s="395" t="s">
        <v>2902</v>
      </c>
      <c r="E157" s="273" t="s">
        <v>2919</v>
      </c>
      <c r="F157" s="273" t="s">
        <v>2920</v>
      </c>
      <c r="G157" s="139"/>
      <c r="H157" s="139"/>
      <c r="I157" s="139"/>
      <c r="J157" s="139"/>
      <c r="K157" s="139"/>
      <c r="L157" s="139"/>
      <c r="M157" s="139"/>
      <c r="N157" s="139"/>
      <c r="O157" s="139"/>
      <c r="P157" s="139"/>
      <c r="Q157" s="139"/>
      <c r="R157" s="139"/>
      <c r="S157" s="139"/>
      <c r="T157" s="139"/>
      <c r="U157" s="139"/>
      <c r="V157" s="139"/>
      <c r="W157" s="139"/>
      <c r="X157" s="139"/>
      <c r="Y157" s="139"/>
      <c r="Z157" s="41"/>
    </row>
    <row r="158" spans="1:26" ht="33.75" customHeight="1">
      <c r="A158" s="273">
        <v>157</v>
      </c>
      <c r="B158" s="270" t="s">
        <v>2921</v>
      </c>
      <c r="C158" s="396">
        <f>DATE(2013,1,30)</f>
        <v>41304</v>
      </c>
      <c r="D158" s="395" t="s">
        <v>2902</v>
      </c>
      <c r="E158" s="273" t="s">
        <v>2922</v>
      </c>
      <c r="F158" s="273" t="s">
        <v>2923</v>
      </c>
      <c r="G158" s="139"/>
      <c r="H158" s="139"/>
      <c r="I158" s="139"/>
      <c r="J158" s="139"/>
      <c r="K158" s="139"/>
      <c r="L158" s="139"/>
      <c r="M158" s="139"/>
      <c r="N158" s="139"/>
      <c r="O158" s="139"/>
      <c r="P158" s="139"/>
      <c r="Q158" s="139"/>
      <c r="R158" s="139"/>
      <c r="S158" s="139"/>
      <c r="T158" s="139"/>
      <c r="U158" s="139"/>
      <c r="V158" s="139"/>
      <c r="W158" s="139"/>
      <c r="X158" s="139"/>
      <c r="Y158" s="41"/>
      <c r="Z158" s="139"/>
    </row>
    <row r="159" spans="1:26" ht="33.75" customHeight="1">
      <c r="A159" s="273">
        <v>158</v>
      </c>
      <c r="B159" s="270" t="s">
        <v>2924</v>
      </c>
      <c r="C159" s="396">
        <f>DATE(2012,12,5)</f>
        <v>41248</v>
      </c>
      <c r="D159" s="395" t="s">
        <v>2902</v>
      </c>
      <c r="E159" s="273" t="s">
        <v>2925</v>
      </c>
      <c r="F159" s="273" t="s">
        <v>2926</v>
      </c>
      <c r="G159" s="139"/>
      <c r="H159" s="139"/>
      <c r="I159" s="139"/>
      <c r="J159" s="139"/>
      <c r="K159" s="139"/>
      <c r="L159" s="139"/>
      <c r="M159" s="139"/>
      <c r="N159" s="139"/>
      <c r="O159" s="139"/>
      <c r="P159" s="139"/>
      <c r="Q159" s="139"/>
      <c r="R159" s="139"/>
      <c r="S159" s="139"/>
      <c r="T159" s="139"/>
      <c r="U159" s="139"/>
      <c r="V159" s="139"/>
      <c r="W159" s="139"/>
      <c r="X159" s="139"/>
      <c r="Y159" s="139"/>
      <c r="Z159" s="41"/>
    </row>
    <row r="160" spans="1:26" ht="33.75" customHeight="1">
      <c r="A160" s="273">
        <v>159</v>
      </c>
      <c r="B160" s="270" t="s">
        <v>2927</v>
      </c>
      <c r="C160" s="396">
        <f t="shared" ref="C160" si="5">DATE(2012,12,5)</f>
        <v>41248</v>
      </c>
      <c r="D160" s="395" t="s">
        <v>2902</v>
      </c>
      <c r="E160" s="273" t="s">
        <v>2928</v>
      </c>
      <c r="F160" s="273" t="s">
        <v>1593</v>
      </c>
      <c r="G160" s="139"/>
      <c r="H160" s="139"/>
      <c r="I160" s="139"/>
      <c r="J160" s="139"/>
      <c r="K160" s="139"/>
      <c r="L160" s="139"/>
      <c r="M160" s="139"/>
      <c r="N160" s="139"/>
      <c r="O160" s="139"/>
      <c r="P160" s="139"/>
      <c r="Q160" s="139"/>
      <c r="R160" s="139"/>
      <c r="S160" s="139"/>
      <c r="T160" s="139"/>
      <c r="U160" s="139"/>
      <c r="V160" s="139"/>
      <c r="W160" s="139"/>
      <c r="X160" s="139"/>
      <c r="Y160" s="139"/>
      <c r="Z160" s="41"/>
    </row>
    <row r="161" spans="1:26" ht="33.75" customHeight="1">
      <c r="A161" s="273">
        <v>160</v>
      </c>
      <c r="B161" s="270" t="s">
        <v>2929</v>
      </c>
      <c r="C161" s="396">
        <f>DATE(2012,12,4)</f>
        <v>41247</v>
      </c>
      <c r="D161" s="395" t="s">
        <v>2902</v>
      </c>
      <c r="E161" s="273" t="s">
        <v>2930</v>
      </c>
      <c r="F161" s="273" t="s">
        <v>2931</v>
      </c>
      <c r="G161" s="139"/>
      <c r="H161" s="139"/>
      <c r="I161" s="139"/>
      <c r="J161" s="139"/>
      <c r="K161" s="139"/>
      <c r="L161" s="139"/>
      <c r="M161" s="139"/>
      <c r="N161" s="139"/>
      <c r="O161" s="139"/>
      <c r="P161" s="139"/>
      <c r="Q161" s="139"/>
      <c r="R161" s="139"/>
      <c r="S161" s="139"/>
      <c r="T161" s="139"/>
      <c r="U161" s="139"/>
      <c r="V161" s="139"/>
      <c r="W161" s="139"/>
      <c r="X161" s="139"/>
      <c r="Y161" s="139"/>
      <c r="Z161" s="41"/>
    </row>
    <row r="162" spans="1:26" ht="33.75" customHeight="1">
      <c r="A162" s="273">
        <v>161</v>
      </c>
      <c r="B162" s="270" t="s">
        <v>2932</v>
      </c>
      <c r="C162" s="396">
        <f>DATE(2012,12,4)</f>
        <v>41247</v>
      </c>
      <c r="D162" s="395" t="s">
        <v>2902</v>
      </c>
      <c r="E162" s="273" t="s">
        <v>2933</v>
      </c>
      <c r="F162" s="273" t="s">
        <v>2934</v>
      </c>
      <c r="G162" s="139"/>
      <c r="H162" s="139"/>
      <c r="I162" s="139"/>
      <c r="J162" s="139"/>
      <c r="K162" s="139"/>
      <c r="L162" s="139"/>
      <c r="M162" s="139"/>
      <c r="N162" s="139"/>
      <c r="O162" s="139"/>
      <c r="P162" s="139"/>
      <c r="Q162" s="139"/>
      <c r="R162" s="139"/>
      <c r="S162" s="139"/>
      <c r="T162" s="139"/>
      <c r="U162" s="139"/>
      <c r="V162" s="139"/>
      <c r="W162" s="139"/>
      <c r="X162" s="139"/>
      <c r="Y162" s="139"/>
      <c r="Z162" s="41"/>
    </row>
    <row r="163" spans="1:26" ht="33.75" customHeight="1">
      <c r="A163" s="273">
        <v>162</v>
      </c>
      <c r="B163" s="270" t="s">
        <v>2935</v>
      </c>
      <c r="C163" s="396">
        <f>DATE(2012,11,9)</f>
        <v>41222</v>
      </c>
      <c r="D163" s="395" t="s">
        <v>2902</v>
      </c>
      <c r="E163" s="273" t="s">
        <v>2936</v>
      </c>
      <c r="F163" s="273" t="s">
        <v>2937</v>
      </c>
      <c r="G163" s="139"/>
      <c r="H163" s="139"/>
      <c r="I163" s="139"/>
      <c r="J163" s="139"/>
      <c r="K163" s="139"/>
      <c r="L163" s="139"/>
      <c r="M163" s="139"/>
      <c r="N163" s="139"/>
      <c r="O163" s="139"/>
      <c r="P163" s="139"/>
      <c r="Q163" s="139"/>
      <c r="R163" s="139"/>
      <c r="S163" s="139"/>
      <c r="T163" s="139"/>
      <c r="U163" s="139"/>
      <c r="V163" s="139"/>
      <c r="W163" s="139"/>
      <c r="X163" s="139"/>
      <c r="Y163" s="139"/>
      <c r="Z163" s="41"/>
    </row>
    <row r="164" spans="1:26" ht="33.75" customHeight="1">
      <c r="A164" s="273">
        <v>163</v>
      </c>
      <c r="B164" s="270" t="s">
        <v>2938</v>
      </c>
      <c r="C164" s="396">
        <f>DATE(2012,9,12)</f>
        <v>41164</v>
      </c>
      <c r="D164" s="395" t="s">
        <v>2902</v>
      </c>
      <c r="E164" s="273" t="s">
        <v>2939</v>
      </c>
      <c r="F164" s="273" t="s">
        <v>2940</v>
      </c>
      <c r="G164" s="139"/>
      <c r="H164" s="139"/>
      <c r="I164" s="139"/>
      <c r="J164" s="139"/>
      <c r="K164" s="139"/>
      <c r="L164" s="139"/>
      <c r="M164" s="139"/>
      <c r="N164" s="139"/>
      <c r="O164" s="139"/>
      <c r="P164" s="139"/>
      <c r="Q164" s="139"/>
      <c r="R164" s="139"/>
      <c r="S164" s="139"/>
      <c r="T164" s="139"/>
      <c r="U164" s="139"/>
      <c r="V164" s="139"/>
      <c r="W164" s="139"/>
      <c r="X164" s="139"/>
      <c r="Y164" s="139"/>
      <c r="Z164" s="41"/>
    </row>
    <row r="165" spans="1:26" ht="33.75" customHeight="1">
      <c r="A165" s="273">
        <v>164</v>
      </c>
      <c r="B165" s="270" t="s">
        <v>2941</v>
      </c>
      <c r="C165" s="396">
        <f t="shared" ref="C165:C166" si="6">DATE(2012,9,12)</f>
        <v>41164</v>
      </c>
      <c r="D165" s="395" t="s">
        <v>2902</v>
      </c>
      <c r="E165" s="273" t="s">
        <v>2942</v>
      </c>
      <c r="F165" s="273" t="s">
        <v>2943</v>
      </c>
      <c r="G165" s="139"/>
      <c r="H165" s="139"/>
      <c r="I165" s="139"/>
      <c r="J165" s="139"/>
      <c r="K165" s="139"/>
      <c r="L165" s="139"/>
      <c r="M165" s="139"/>
      <c r="N165" s="139"/>
      <c r="O165" s="139"/>
      <c r="P165" s="139"/>
      <c r="Q165" s="139"/>
      <c r="R165" s="139"/>
      <c r="S165" s="139"/>
      <c r="T165" s="139"/>
      <c r="U165" s="139"/>
      <c r="V165" s="139"/>
      <c r="W165" s="139"/>
      <c r="X165" s="139"/>
      <c r="Y165" s="139"/>
      <c r="Z165" s="41"/>
    </row>
    <row r="166" spans="1:26" ht="33.75" customHeight="1">
      <c r="A166" s="273">
        <v>165</v>
      </c>
      <c r="B166" s="270" t="s">
        <v>2944</v>
      </c>
      <c r="C166" s="396">
        <f t="shared" si="6"/>
        <v>41164</v>
      </c>
      <c r="D166" s="395" t="s">
        <v>2902</v>
      </c>
      <c r="E166" s="273" t="s">
        <v>2945</v>
      </c>
      <c r="F166" s="273" t="s">
        <v>2946</v>
      </c>
      <c r="G166" s="139"/>
      <c r="H166" s="139"/>
      <c r="I166" s="139"/>
      <c r="J166" s="139"/>
      <c r="K166" s="139"/>
      <c r="L166" s="139"/>
      <c r="M166" s="139"/>
      <c r="N166" s="139"/>
      <c r="O166" s="139"/>
      <c r="P166" s="139"/>
      <c r="Q166" s="139"/>
      <c r="R166" s="139"/>
      <c r="S166" s="139"/>
      <c r="T166" s="139"/>
      <c r="U166" s="139"/>
      <c r="V166" s="139"/>
      <c r="W166" s="139"/>
      <c r="X166" s="139"/>
      <c r="Y166" s="139"/>
      <c r="Z166" s="41"/>
    </row>
    <row r="167" spans="1:26" ht="33.75" customHeight="1">
      <c r="A167" s="273">
        <v>166</v>
      </c>
      <c r="B167" s="270" t="s">
        <v>2947</v>
      </c>
      <c r="C167" s="396">
        <f>DATE(2012,6,13)</f>
        <v>41073</v>
      </c>
      <c r="D167" s="395" t="s">
        <v>2902</v>
      </c>
      <c r="E167" s="273" t="s">
        <v>2948</v>
      </c>
      <c r="F167" s="273" t="s">
        <v>2949</v>
      </c>
      <c r="G167" s="139"/>
      <c r="H167" s="139"/>
      <c r="I167" s="139"/>
      <c r="J167" s="139"/>
      <c r="K167" s="139"/>
      <c r="L167" s="139"/>
      <c r="M167" s="139"/>
      <c r="N167" s="139"/>
      <c r="O167" s="139"/>
      <c r="P167" s="139"/>
      <c r="Q167" s="139"/>
      <c r="R167" s="139"/>
      <c r="S167" s="139"/>
      <c r="T167" s="139"/>
      <c r="U167" s="139"/>
      <c r="V167" s="139"/>
      <c r="W167" s="139"/>
      <c r="X167" s="139"/>
      <c r="Y167" s="139"/>
      <c r="Z167" s="41"/>
    </row>
    <row r="168" spans="1:26" ht="33.75" customHeight="1">
      <c r="A168" s="273">
        <v>167</v>
      </c>
      <c r="B168" s="270" t="s">
        <v>2950</v>
      </c>
      <c r="C168" s="396">
        <f>DATE(2012,5,9)</f>
        <v>41038</v>
      </c>
      <c r="D168" s="395" t="s">
        <v>2902</v>
      </c>
      <c r="E168" s="273" t="s">
        <v>2951</v>
      </c>
      <c r="F168" s="273" t="s">
        <v>2952</v>
      </c>
      <c r="G168" s="139"/>
      <c r="H168" s="139"/>
      <c r="I168" s="139"/>
      <c r="J168" s="139"/>
      <c r="K168" s="139"/>
      <c r="L168" s="139"/>
      <c r="M168" s="139"/>
      <c r="N168" s="139"/>
      <c r="O168" s="139"/>
      <c r="P168" s="139"/>
      <c r="Q168" s="139"/>
      <c r="R168" s="139"/>
      <c r="S168" s="139"/>
      <c r="T168" s="139"/>
      <c r="U168" s="139"/>
      <c r="V168" s="139"/>
      <c r="W168" s="139"/>
      <c r="X168" s="139"/>
      <c r="Y168" s="139"/>
      <c r="Z168" s="41"/>
    </row>
    <row r="169" spans="1:26" ht="33.75" customHeight="1">
      <c r="A169" s="273">
        <v>168</v>
      </c>
      <c r="B169" s="270" t="s">
        <v>2953</v>
      </c>
      <c r="C169" s="396">
        <f>DATE(2012,1,17)</f>
        <v>40925</v>
      </c>
      <c r="D169" s="395" t="s">
        <v>2902</v>
      </c>
      <c r="E169" s="273" t="s">
        <v>2954</v>
      </c>
      <c r="F169" s="273" t="s">
        <v>2955</v>
      </c>
      <c r="G169" s="139"/>
      <c r="H169" s="139"/>
      <c r="I169" s="139"/>
      <c r="J169" s="139"/>
      <c r="K169" s="139"/>
      <c r="L169" s="139"/>
      <c r="M169" s="139"/>
      <c r="N169" s="139"/>
      <c r="O169" s="139"/>
      <c r="P169" s="139"/>
      <c r="Q169" s="139"/>
      <c r="R169" s="139"/>
      <c r="S169" s="139"/>
      <c r="T169" s="139"/>
      <c r="U169" s="139"/>
      <c r="V169" s="139"/>
      <c r="W169" s="139"/>
      <c r="X169" s="139"/>
      <c r="Y169" s="139"/>
      <c r="Z169" s="41"/>
    </row>
    <row r="170" spans="1:26" ht="33.75" customHeight="1">
      <c r="A170" s="273">
        <v>169</v>
      </c>
      <c r="B170" s="270" t="s">
        <v>2956</v>
      </c>
      <c r="C170" s="396">
        <f>DATE(2011,9,6)</f>
        <v>40792</v>
      </c>
      <c r="D170" s="395" t="s">
        <v>2902</v>
      </c>
      <c r="E170" s="273" t="s">
        <v>2957</v>
      </c>
      <c r="F170" s="273" t="s">
        <v>2958</v>
      </c>
      <c r="G170" s="139"/>
      <c r="H170" s="139"/>
      <c r="I170" s="139"/>
      <c r="J170" s="139"/>
      <c r="K170" s="139"/>
      <c r="L170" s="139"/>
      <c r="M170" s="139"/>
      <c r="N170" s="139"/>
      <c r="O170" s="139"/>
      <c r="P170" s="139"/>
      <c r="Q170" s="139"/>
      <c r="R170" s="139"/>
      <c r="S170" s="139"/>
      <c r="T170" s="139"/>
      <c r="U170" s="139"/>
      <c r="V170" s="139"/>
      <c r="W170" s="139"/>
      <c r="X170" s="139"/>
      <c r="Y170" s="139"/>
      <c r="Z170" s="41"/>
    </row>
    <row r="171" spans="1:26" ht="33.75" customHeight="1">
      <c r="A171" s="273">
        <v>170</v>
      </c>
      <c r="B171" s="270" t="s">
        <v>2959</v>
      </c>
      <c r="C171" s="396">
        <f>DATE(2011,7,19)</f>
        <v>40743</v>
      </c>
      <c r="D171" s="395" t="s">
        <v>2902</v>
      </c>
      <c r="E171" s="273" t="s">
        <v>2960</v>
      </c>
      <c r="F171" s="273" t="s">
        <v>2961</v>
      </c>
      <c r="G171" s="139"/>
      <c r="H171" s="139"/>
      <c r="I171" s="139"/>
      <c r="J171" s="139"/>
      <c r="K171" s="139"/>
      <c r="L171" s="139"/>
      <c r="M171" s="139"/>
      <c r="N171" s="139"/>
      <c r="O171" s="139"/>
      <c r="P171" s="139"/>
      <c r="Q171" s="139"/>
      <c r="R171" s="139"/>
      <c r="S171" s="139"/>
      <c r="T171" s="139"/>
      <c r="U171" s="139"/>
      <c r="V171" s="139"/>
      <c r="W171" s="139"/>
      <c r="X171" s="139"/>
      <c r="Y171" s="139"/>
      <c r="Z171" s="41"/>
    </row>
    <row r="172" spans="1:26" ht="33.75" customHeight="1">
      <c r="A172" s="273">
        <v>171</v>
      </c>
      <c r="B172" s="270" t="s">
        <v>2962</v>
      </c>
      <c r="C172" s="396">
        <f>DATE(2011,5,10)</f>
        <v>40673</v>
      </c>
      <c r="D172" s="273" t="s">
        <v>21</v>
      </c>
      <c r="E172" s="273" t="s">
        <v>2963</v>
      </c>
      <c r="F172" s="273" t="s">
        <v>1498</v>
      </c>
      <c r="G172" s="139"/>
      <c r="H172" s="139"/>
      <c r="I172" s="139"/>
      <c r="J172" s="139"/>
      <c r="K172" s="139"/>
      <c r="L172" s="139"/>
      <c r="M172" s="139"/>
      <c r="N172" s="139"/>
      <c r="O172" s="139"/>
      <c r="P172" s="139"/>
      <c r="Q172" s="139"/>
      <c r="R172" s="139"/>
      <c r="S172" s="139"/>
      <c r="T172" s="139"/>
      <c r="U172" s="139"/>
      <c r="V172" s="139"/>
      <c r="W172" s="139"/>
      <c r="X172" s="139"/>
      <c r="Y172" s="139"/>
      <c r="Z172" s="139"/>
    </row>
    <row r="173" spans="1:26" ht="33.75" customHeight="1">
      <c r="A173" s="273">
        <v>172</v>
      </c>
      <c r="B173" s="270" t="s">
        <v>2964</v>
      </c>
      <c r="C173" s="396">
        <f>DATE(2011,5,29)</f>
        <v>40692</v>
      </c>
      <c r="D173" s="273" t="s">
        <v>21</v>
      </c>
      <c r="E173" s="273" t="s">
        <v>2965</v>
      </c>
      <c r="F173" s="273" t="s">
        <v>2966</v>
      </c>
      <c r="G173" s="139"/>
      <c r="H173" s="139"/>
      <c r="I173" s="139"/>
      <c r="J173" s="139"/>
      <c r="K173" s="139"/>
      <c r="L173" s="139"/>
      <c r="M173" s="139"/>
      <c r="N173" s="139"/>
      <c r="O173" s="139"/>
      <c r="P173" s="139"/>
      <c r="Q173" s="139"/>
      <c r="R173" s="139"/>
      <c r="S173" s="139"/>
      <c r="T173" s="139"/>
      <c r="U173" s="139"/>
      <c r="V173" s="139"/>
      <c r="W173" s="139"/>
      <c r="X173" s="139"/>
      <c r="Y173" s="139"/>
      <c r="Z173" s="139"/>
    </row>
    <row r="174" spans="1:26" ht="33.75" customHeight="1">
      <c r="A174" s="273">
        <v>173</v>
      </c>
      <c r="B174" s="270" t="s">
        <v>2967</v>
      </c>
      <c r="C174" s="396">
        <f>DATE(2013,6,13)</f>
        <v>41438</v>
      </c>
      <c r="D174" s="273" t="s">
        <v>21</v>
      </c>
      <c r="E174" s="273" t="s">
        <v>2968</v>
      </c>
      <c r="F174" s="273" t="s">
        <v>2969</v>
      </c>
      <c r="G174" s="139"/>
      <c r="H174" s="139"/>
      <c r="I174" s="139"/>
      <c r="J174" s="139"/>
      <c r="K174" s="139"/>
      <c r="L174" s="139"/>
      <c r="M174" s="139"/>
      <c r="N174" s="139"/>
      <c r="O174" s="139"/>
      <c r="P174" s="139"/>
      <c r="Q174" s="139"/>
      <c r="R174" s="139"/>
      <c r="S174" s="139"/>
      <c r="T174" s="139"/>
      <c r="U174" s="139"/>
      <c r="V174" s="139"/>
      <c r="W174" s="139"/>
      <c r="X174" s="139"/>
      <c r="Y174" s="139"/>
      <c r="Z174" s="139"/>
    </row>
    <row r="175" spans="1:26" ht="33.75" customHeight="1">
      <c r="A175" s="273">
        <v>174</v>
      </c>
      <c r="B175" s="270" t="s">
        <v>2970</v>
      </c>
      <c r="C175" s="396">
        <f>DATE(2013,6,7)</f>
        <v>41432</v>
      </c>
      <c r="D175" s="273" t="s">
        <v>21</v>
      </c>
      <c r="E175" s="273" t="s">
        <v>2971</v>
      </c>
      <c r="F175" s="273" t="s">
        <v>1498</v>
      </c>
      <c r="G175" s="139"/>
      <c r="H175" s="139"/>
      <c r="I175" s="139"/>
      <c r="J175" s="139"/>
      <c r="K175" s="139"/>
      <c r="L175" s="139"/>
      <c r="M175" s="139"/>
      <c r="N175" s="139"/>
      <c r="O175" s="139"/>
      <c r="P175" s="139"/>
      <c r="Q175" s="139"/>
      <c r="R175" s="139"/>
      <c r="S175" s="139"/>
      <c r="T175" s="139"/>
      <c r="U175" s="139"/>
      <c r="V175" s="139"/>
      <c r="W175" s="139"/>
      <c r="X175" s="139"/>
      <c r="Y175" s="139"/>
      <c r="Z175" s="139"/>
    </row>
    <row r="176" spans="1:26" ht="33.75" customHeight="1">
      <c r="A176" s="273">
        <v>175</v>
      </c>
      <c r="B176" s="270" t="s">
        <v>2972</v>
      </c>
      <c r="C176" s="396">
        <f>DATE(2013,6,11)</f>
        <v>41436</v>
      </c>
      <c r="D176" s="273" t="s">
        <v>21</v>
      </c>
      <c r="E176" s="273" t="s">
        <v>2973</v>
      </c>
      <c r="F176" s="273" t="s">
        <v>2969</v>
      </c>
      <c r="G176" s="139"/>
      <c r="H176" s="139"/>
      <c r="I176" s="139"/>
      <c r="J176" s="139"/>
      <c r="K176" s="139"/>
      <c r="L176" s="139"/>
      <c r="M176" s="139"/>
      <c r="N176" s="139"/>
      <c r="O176" s="139"/>
      <c r="P176" s="139"/>
      <c r="Q176" s="139"/>
      <c r="R176" s="139"/>
      <c r="S176" s="139"/>
      <c r="T176" s="139"/>
      <c r="U176" s="139"/>
      <c r="V176" s="139"/>
      <c r="W176" s="139"/>
      <c r="X176" s="139"/>
      <c r="Y176" s="139"/>
      <c r="Z176" s="139"/>
    </row>
    <row r="177" spans="1:26" ht="33.75" customHeight="1">
      <c r="A177" s="273">
        <v>176</v>
      </c>
      <c r="B177" s="270" t="s">
        <v>2974</v>
      </c>
      <c r="C177" s="396">
        <f>DATE(2013,6,14)</f>
        <v>41439</v>
      </c>
      <c r="D177" s="273" t="s">
        <v>21</v>
      </c>
      <c r="E177" s="273" t="s">
        <v>2975</v>
      </c>
      <c r="F177" s="273" t="s">
        <v>1498</v>
      </c>
      <c r="G177" s="139"/>
      <c r="H177" s="139"/>
      <c r="I177" s="139"/>
      <c r="J177" s="139"/>
      <c r="K177" s="139"/>
      <c r="L177" s="139"/>
      <c r="M177" s="139"/>
      <c r="N177" s="139"/>
      <c r="O177" s="139"/>
      <c r="P177" s="139"/>
      <c r="Q177" s="139"/>
      <c r="R177" s="139"/>
      <c r="S177" s="139"/>
      <c r="T177" s="139"/>
      <c r="U177" s="139"/>
      <c r="V177" s="139"/>
      <c r="W177" s="139"/>
      <c r="X177" s="139"/>
      <c r="Y177" s="139"/>
      <c r="Z177" s="139"/>
    </row>
    <row r="178" spans="1:26" ht="33.75" customHeight="1">
      <c r="A178" s="273">
        <v>177</v>
      </c>
      <c r="B178" s="270" t="s">
        <v>2976</v>
      </c>
      <c r="C178" s="396">
        <v>41443</v>
      </c>
      <c r="D178" s="273" t="s">
        <v>21</v>
      </c>
      <c r="E178" s="273" t="s">
        <v>2977</v>
      </c>
      <c r="F178" s="273" t="s">
        <v>1514</v>
      </c>
      <c r="G178" s="139"/>
      <c r="H178" s="139"/>
      <c r="I178" s="139"/>
      <c r="J178" s="139"/>
      <c r="K178" s="139"/>
      <c r="L178" s="139"/>
      <c r="M178" s="139"/>
      <c r="N178" s="139"/>
      <c r="O178" s="139"/>
      <c r="P178" s="139"/>
      <c r="Q178" s="139"/>
      <c r="R178" s="139"/>
      <c r="S178" s="139"/>
      <c r="T178" s="139"/>
      <c r="U178" s="139"/>
      <c r="V178" s="139"/>
      <c r="W178" s="139"/>
      <c r="X178" s="139"/>
      <c r="Y178" s="139"/>
      <c r="Z178" s="139"/>
    </row>
    <row r="179" spans="1:26" ht="158.4">
      <c r="A179" s="273">
        <v>178</v>
      </c>
      <c r="B179" s="270" t="s">
        <v>2978</v>
      </c>
      <c r="C179" s="396">
        <v>41462</v>
      </c>
      <c r="D179" s="273" t="s">
        <v>21</v>
      </c>
      <c r="E179" s="273" t="s">
        <v>2979</v>
      </c>
      <c r="F179" s="273" t="s">
        <v>1498</v>
      </c>
      <c r="G179" s="139"/>
      <c r="H179" s="139"/>
      <c r="I179" s="139"/>
      <c r="J179" s="139"/>
      <c r="K179" s="139"/>
      <c r="L179" s="139"/>
      <c r="M179" s="139"/>
      <c r="N179" s="139"/>
      <c r="O179" s="139"/>
      <c r="P179" s="139"/>
      <c r="Q179" s="139"/>
      <c r="R179" s="139"/>
      <c r="S179" s="139"/>
      <c r="T179" s="139"/>
      <c r="U179" s="139"/>
      <c r="V179" s="139"/>
      <c r="W179" s="139"/>
      <c r="X179" s="139"/>
      <c r="Y179" s="139"/>
      <c r="Z179" s="139"/>
    </row>
    <row r="180" spans="1:26" ht="33.75" customHeight="1">
      <c r="A180" s="273">
        <v>179</v>
      </c>
      <c r="B180" s="270" t="s">
        <v>2980</v>
      </c>
      <c r="C180" s="396">
        <v>41470</v>
      </c>
      <c r="D180" s="273" t="s">
        <v>21</v>
      </c>
      <c r="E180" s="273" t="s">
        <v>2981</v>
      </c>
      <c r="F180" s="273" t="s">
        <v>2982</v>
      </c>
      <c r="G180" s="139"/>
      <c r="H180" s="139"/>
      <c r="I180" s="139"/>
      <c r="J180" s="139"/>
      <c r="K180" s="139"/>
      <c r="L180" s="139"/>
      <c r="M180" s="139"/>
      <c r="N180" s="139"/>
      <c r="O180" s="139"/>
      <c r="P180" s="139"/>
      <c r="Q180" s="139"/>
      <c r="R180" s="139"/>
      <c r="S180" s="139"/>
      <c r="T180" s="139"/>
      <c r="U180" s="139"/>
      <c r="V180" s="139"/>
      <c r="W180" s="139"/>
      <c r="X180" s="139"/>
      <c r="Y180" s="139"/>
      <c r="Z180" s="139"/>
    </row>
    <row r="181" spans="1:26" ht="33.75" customHeight="1">
      <c r="A181" s="273">
        <v>180</v>
      </c>
      <c r="B181" s="270" t="s">
        <v>2983</v>
      </c>
      <c r="C181" s="396">
        <v>41474</v>
      </c>
      <c r="D181" s="273" t="s">
        <v>21</v>
      </c>
      <c r="E181" s="273" t="s">
        <v>2984</v>
      </c>
      <c r="F181" s="273" t="s">
        <v>432</v>
      </c>
      <c r="G181" s="139"/>
      <c r="H181" s="139"/>
      <c r="I181" s="139"/>
      <c r="J181" s="139"/>
      <c r="K181" s="139"/>
      <c r="L181" s="139"/>
      <c r="M181" s="139"/>
      <c r="N181" s="139"/>
      <c r="O181" s="139"/>
      <c r="P181" s="139"/>
      <c r="Q181" s="139"/>
      <c r="R181" s="139"/>
      <c r="S181" s="139"/>
      <c r="T181" s="139"/>
      <c r="U181" s="139"/>
      <c r="V181" s="139"/>
      <c r="W181" s="139"/>
      <c r="X181" s="139"/>
      <c r="Y181" s="139"/>
      <c r="Z181" s="139"/>
    </row>
    <row r="182" spans="1:26" ht="33.75" customHeight="1">
      <c r="A182" s="273">
        <v>181</v>
      </c>
      <c r="B182" s="270" t="s">
        <v>2985</v>
      </c>
      <c r="C182" s="396">
        <v>41512</v>
      </c>
      <c r="D182" s="273" t="s">
        <v>21</v>
      </c>
      <c r="E182" s="273" t="s">
        <v>2986</v>
      </c>
      <c r="F182" s="273" t="s">
        <v>2987</v>
      </c>
      <c r="G182" s="139"/>
      <c r="H182" s="139"/>
      <c r="I182" s="139"/>
      <c r="J182" s="139"/>
      <c r="K182" s="139"/>
      <c r="L182" s="139"/>
      <c r="M182" s="139"/>
      <c r="N182" s="139"/>
      <c r="O182" s="139"/>
      <c r="P182" s="139"/>
      <c r="Q182" s="139"/>
      <c r="R182" s="139"/>
      <c r="S182" s="139"/>
      <c r="T182" s="139"/>
      <c r="U182" s="139"/>
      <c r="V182" s="139"/>
      <c r="W182" s="139"/>
      <c r="X182" s="139"/>
      <c r="Y182" s="139"/>
      <c r="Z182" s="139"/>
    </row>
    <row r="183" spans="1:26" ht="33.75" customHeight="1">
      <c r="A183" s="273">
        <v>182</v>
      </c>
      <c r="B183" s="270" t="s">
        <v>2988</v>
      </c>
      <c r="C183" s="396">
        <v>41521</v>
      </c>
      <c r="D183" s="273" t="s">
        <v>21</v>
      </c>
      <c r="E183" s="273" t="s">
        <v>2989</v>
      </c>
      <c r="F183" s="273" t="s">
        <v>1498</v>
      </c>
      <c r="G183" s="139"/>
      <c r="H183" s="139"/>
      <c r="I183" s="139"/>
      <c r="J183" s="139"/>
      <c r="K183" s="139"/>
      <c r="L183" s="139"/>
      <c r="M183" s="139"/>
      <c r="N183" s="139"/>
      <c r="O183" s="139"/>
      <c r="P183" s="139"/>
      <c r="Q183" s="139"/>
      <c r="R183" s="139"/>
      <c r="S183" s="139"/>
      <c r="T183" s="139"/>
      <c r="U183" s="139"/>
      <c r="V183" s="139"/>
      <c r="W183" s="139"/>
      <c r="X183" s="139"/>
      <c r="Y183" s="139"/>
      <c r="Z183" s="139"/>
    </row>
    <row r="184" spans="1:26" ht="129.6">
      <c r="A184" s="273">
        <v>183</v>
      </c>
      <c r="B184" s="270" t="s">
        <v>2990</v>
      </c>
      <c r="C184" s="398">
        <v>41540</v>
      </c>
      <c r="D184" s="273" t="s">
        <v>21</v>
      </c>
      <c r="E184" s="273" t="s">
        <v>2991</v>
      </c>
      <c r="F184" s="273" t="s">
        <v>2992</v>
      </c>
      <c r="G184" s="140"/>
      <c r="H184" s="139"/>
      <c r="I184" s="139"/>
      <c r="J184" s="139"/>
      <c r="K184" s="140"/>
      <c r="L184" s="140"/>
      <c r="M184" s="140"/>
      <c r="N184" s="140"/>
      <c r="O184" s="140"/>
      <c r="P184" s="140"/>
      <c r="Q184" s="140"/>
      <c r="R184" s="140"/>
      <c r="S184" s="140"/>
      <c r="T184" s="140"/>
      <c r="U184" s="140"/>
      <c r="V184" s="139"/>
      <c r="W184" s="140"/>
      <c r="X184" s="140"/>
      <c r="Y184" s="140"/>
      <c r="Z184" s="42"/>
    </row>
    <row r="185" spans="1:26" ht="201.6">
      <c r="A185" s="273">
        <v>184</v>
      </c>
      <c r="B185" s="270" t="s">
        <v>2993</v>
      </c>
      <c r="C185" s="398">
        <v>41543</v>
      </c>
      <c r="D185" s="273" t="s">
        <v>21</v>
      </c>
      <c r="E185" s="273" t="s">
        <v>2994</v>
      </c>
      <c r="F185" s="273" t="s">
        <v>2995</v>
      </c>
      <c r="G185" s="140"/>
      <c r="H185" s="139"/>
      <c r="I185" s="140"/>
      <c r="J185" s="140"/>
      <c r="K185" s="140"/>
      <c r="L185" s="140"/>
      <c r="M185" s="140"/>
      <c r="N185" s="140"/>
      <c r="O185" s="140"/>
      <c r="P185" s="140"/>
      <c r="Q185" s="140"/>
      <c r="R185" s="140"/>
      <c r="S185" s="140"/>
      <c r="T185" s="140"/>
      <c r="U185" s="140"/>
      <c r="V185" s="140"/>
      <c r="W185" s="140"/>
      <c r="X185" s="140"/>
      <c r="Y185" s="140"/>
      <c r="Z185" s="42"/>
    </row>
    <row r="186" spans="1:26" ht="201.6">
      <c r="A186" s="273">
        <v>185</v>
      </c>
      <c r="B186" s="270" t="s">
        <v>2996</v>
      </c>
      <c r="C186" s="398">
        <v>41562</v>
      </c>
      <c r="D186" s="273" t="s">
        <v>21</v>
      </c>
      <c r="E186" s="273" t="s">
        <v>2997</v>
      </c>
      <c r="F186" s="273" t="s">
        <v>1532</v>
      </c>
      <c r="G186" s="139"/>
      <c r="H186" s="139"/>
      <c r="I186" s="140"/>
      <c r="J186" s="139"/>
      <c r="K186" s="140"/>
      <c r="L186" s="140"/>
      <c r="M186" s="140"/>
      <c r="N186" s="140"/>
      <c r="O186" s="140"/>
      <c r="P186" s="140"/>
      <c r="Q186" s="140"/>
      <c r="R186" s="140"/>
      <c r="S186" s="140"/>
      <c r="T186" s="140"/>
      <c r="U186" s="140"/>
      <c r="V186" s="139"/>
      <c r="W186" s="139"/>
      <c r="X186" s="140"/>
      <c r="Y186" s="140"/>
      <c r="Z186" s="42"/>
    </row>
    <row r="187" spans="1:26" ht="100.8">
      <c r="A187" s="273">
        <v>186</v>
      </c>
      <c r="B187" s="270" t="s">
        <v>2998</v>
      </c>
      <c r="C187" s="396">
        <v>41571</v>
      </c>
      <c r="D187" s="273" t="s">
        <v>21</v>
      </c>
      <c r="E187" s="273" t="s">
        <v>2999</v>
      </c>
      <c r="F187" s="273" t="s">
        <v>3000</v>
      </c>
      <c r="G187" s="139"/>
      <c r="H187" s="139"/>
      <c r="I187" s="139"/>
      <c r="J187" s="139"/>
      <c r="K187" s="139"/>
      <c r="L187" s="139"/>
      <c r="M187" s="139"/>
      <c r="N187" s="139"/>
      <c r="O187" s="139"/>
      <c r="P187" s="139"/>
      <c r="Q187" s="139"/>
      <c r="R187" s="139"/>
      <c r="S187" s="139"/>
      <c r="T187" s="139"/>
      <c r="U187" s="139"/>
      <c r="V187" s="139"/>
      <c r="W187" s="139"/>
      <c r="X187" s="139"/>
      <c r="Y187" s="139"/>
      <c r="Z187" s="139"/>
    </row>
    <row r="188" spans="1:26" ht="127.8" customHeight="1">
      <c r="A188" s="273">
        <v>187</v>
      </c>
      <c r="B188" s="270" t="s">
        <v>3001</v>
      </c>
      <c r="C188" s="399">
        <v>41582</v>
      </c>
      <c r="D188" s="273" t="s">
        <v>21</v>
      </c>
      <c r="E188" s="273" t="s">
        <v>3002</v>
      </c>
      <c r="F188" s="270" t="s">
        <v>3003</v>
      </c>
      <c r="G188" s="139"/>
      <c r="H188" s="139"/>
      <c r="I188" s="139"/>
      <c r="J188" s="139"/>
      <c r="K188" s="139"/>
      <c r="L188" s="139"/>
      <c r="M188" s="139"/>
      <c r="N188" s="139"/>
      <c r="O188" s="139"/>
      <c r="P188" s="139"/>
      <c r="Q188" s="139"/>
      <c r="R188" s="139"/>
      <c r="S188" s="139"/>
      <c r="T188" s="139"/>
      <c r="U188" s="139"/>
      <c r="V188" s="139"/>
      <c r="W188" s="139"/>
      <c r="X188" s="139"/>
      <c r="Y188" s="139"/>
      <c r="Z188" s="139"/>
    </row>
    <row r="189" spans="1:26" ht="33.75" customHeight="1">
      <c r="A189" s="273">
        <v>188</v>
      </c>
      <c r="B189" s="270" t="s">
        <v>3004</v>
      </c>
      <c r="C189" s="396">
        <v>41586</v>
      </c>
      <c r="D189" s="273" t="s">
        <v>21</v>
      </c>
      <c r="E189" s="273" t="s">
        <v>3005</v>
      </c>
      <c r="F189" s="273" t="s">
        <v>3006</v>
      </c>
      <c r="G189" s="139"/>
      <c r="H189" s="139"/>
      <c r="I189" s="139"/>
      <c r="J189" s="139"/>
      <c r="K189" s="139"/>
      <c r="L189" s="139"/>
      <c r="M189" s="139"/>
      <c r="N189" s="139"/>
      <c r="O189" s="139"/>
      <c r="P189" s="139"/>
      <c r="Q189" s="139"/>
      <c r="R189" s="139"/>
      <c r="S189" s="139"/>
      <c r="T189" s="139"/>
      <c r="U189" s="139"/>
      <c r="V189" s="139"/>
      <c r="W189" s="139"/>
      <c r="X189" s="139"/>
      <c r="Y189" s="139"/>
      <c r="Z189" s="139"/>
    </row>
    <row r="190" spans="1:26" ht="33.75" customHeight="1">
      <c r="A190" s="273">
        <v>189</v>
      </c>
      <c r="B190" s="270" t="s">
        <v>3007</v>
      </c>
      <c r="C190" s="396">
        <v>41605</v>
      </c>
      <c r="D190" s="273" t="s">
        <v>21</v>
      </c>
      <c r="E190" s="273" t="s">
        <v>3008</v>
      </c>
      <c r="F190" s="273" t="s">
        <v>3009</v>
      </c>
      <c r="G190" s="139"/>
      <c r="H190" s="139"/>
      <c r="I190" s="139"/>
      <c r="J190" s="139"/>
      <c r="K190" s="139"/>
      <c r="L190" s="139"/>
      <c r="M190" s="139"/>
      <c r="N190" s="139"/>
      <c r="O190" s="139"/>
      <c r="P190" s="139"/>
      <c r="Q190" s="139"/>
      <c r="R190" s="139"/>
      <c r="S190" s="139"/>
      <c r="T190" s="139"/>
      <c r="U190" s="139"/>
      <c r="V190" s="139"/>
      <c r="W190" s="139"/>
      <c r="X190" s="139"/>
      <c r="Y190" s="139"/>
      <c r="Z190" s="139"/>
    </row>
    <row r="191" spans="1:26" ht="33.75" customHeight="1">
      <c r="A191" s="273">
        <v>190</v>
      </c>
      <c r="B191" s="270" t="s">
        <v>3010</v>
      </c>
      <c r="C191" s="396">
        <v>41607</v>
      </c>
      <c r="D191" s="273" t="s">
        <v>21</v>
      </c>
      <c r="E191" s="273" t="s">
        <v>3011</v>
      </c>
      <c r="F191" s="273" t="s">
        <v>3012</v>
      </c>
      <c r="G191" s="139"/>
      <c r="H191" s="139"/>
      <c r="I191" s="139"/>
      <c r="J191" s="139"/>
      <c r="K191" s="139"/>
      <c r="L191" s="139"/>
      <c r="M191" s="139"/>
      <c r="N191" s="139"/>
      <c r="O191" s="139"/>
      <c r="P191" s="139"/>
      <c r="Q191" s="139"/>
      <c r="R191" s="139"/>
      <c r="S191" s="139"/>
      <c r="T191" s="139"/>
      <c r="U191" s="139"/>
      <c r="V191" s="139"/>
      <c r="W191" s="139"/>
      <c r="X191" s="139"/>
      <c r="Y191" s="139"/>
      <c r="Z191" s="139"/>
    </row>
    <row r="192" spans="1:26" ht="33.75" customHeight="1">
      <c r="A192" s="273">
        <v>191</v>
      </c>
      <c r="B192" s="270" t="s">
        <v>3013</v>
      </c>
      <c r="C192" s="396">
        <v>41614</v>
      </c>
      <c r="D192" s="273" t="s">
        <v>21</v>
      </c>
      <c r="E192" s="273" t="s">
        <v>3014</v>
      </c>
      <c r="F192" s="273" t="s">
        <v>3003</v>
      </c>
      <c r="G192" s="139"/>
      <c r="H192" s="139"/>
      <c r="I192" s="139"/>
      <c r="J192" s="139"/>
      <c r="K192" s="139"/>
      <c r="L192" s="139"/>
      <c r="M192" s="139"/>
      <c r="N192" s="139"/>
      <c r="O192" s="139"/>
      <c r="P192" s="139"/>
      <c r="Q192" s="139"/>
      <c r="R192" s="139"/>
      <c r="S192" s="139"/>
      <c r="T192" s="139"/>
      <c r="U192" s="139"/>
      <c r="V192" s="139"/>
      <c r="W192" s="139"/>
      <c r="X192" s="139"/>
      <c r="Y192" s="139"/>
      <c r="Z192" s="139"/>
    </row>
    <row r="193" spans="1:26" ht="33.75" customHeight="1">
      <c r="A193" s="273">
        <v>192</v>
      </c>
      <c r="B193" s="270" t="s">
        <v>3015</v>
      </c>
      <c r="C193" s="396">
        <v>41625</v>
      </c>
      <c r="D193" s="273" t="s">
        <v>21</v>
      </c>
      <c r="E193" s="273" t="s">
        <v>3016</v>
      </c>
      <c r="F193" s="273" t="s">
        <v>2966</v>
      </c>
      <c r="G193" s="139"/>
      <c r="H193" s="139"/>
      <c r="I193" s="139"/>
      <c r="J193" s="139"/>
      <c r="K193" s="139"/>
      <c r="L193" s="139"/>
      <c r="M193" s="139"/>
      <c r="N193" s="139"/>
      <c r="O193" s="139"/>
      <c r="P193" s="139"/>
      <c r="Q193" s="139"/>
      <c r="R193" s="139"/>
      <c r="S193" s="139"/>
      <c r="T193" s="139"/>
      <c r="U193" s="139"/>
      <c r="V193" s="139"/>
      <c r="W193" s="139"/>
      <c r="X193" s="139"/>
      <c r="Y193" s="139"/>
      <c r="Z193" s="139"/>
    </row>
    <row r="194" spans="1:26" ht="33.75" customHeight="1">
      <c r="A194" s="273">
        <v>193</v>
      </c>
      <c r="B194" s="270" t="s">
        <v>3017</v>
      </c>
      <c r="C194" s="396">
        <v>41635</v>
      </c>
      <c r="D194" s="273" t="s">
        <v>21</v>
      </c>
      <c r="E194" s="273" t="s">
        <v>3018</v>
      </c>
      <c r="F194" s="273" t="s">
        <v>1516</v>
      </c>
      <c r="G194" s="139"/>
      <c r="H194" s="139"/>
      <c r="I194" s="139"/>
      <c r="J194" s="139"/>
      <c r="K194" s="139"/>
      <c r="L194" s="139"/>
      <c r="M194" s="139"/>
      <c r="N194" s="139"/>
      <c r="O194" s="139"/>
      <c r="P194" s="139"/>
      <c r="Q194" s="139"/>
      <c r="R194" s="139"/>
      <c r="S194" s="139"/>
      <c r="T194" s="139"/>
      <c r="U194" s="139"/>
      <c r="V194" s="139"/>
      <c r="W194" s="139"/>
      <c r="X194" s="139"/>
      <c r="Y194" s="139"/>
      <c r="Z194" s="139"/>
    </row>
    <row r="195" spans="1:26" ht="33.75" customHeight="1">
      <c r="A195" s="273">
        <v>194</v>
      </c>
      <c r="B195" s="270" t="s">
        <v>3019</v>
      </c>
      <c r="C195" s="396">
        <v>41640</v>
      </c>
      <c r="D195" s="273" t="s">
        <v>21</v>
      </c>
      <c r="E195" s="273" t="s">
        <v>3020</v>
      </c>
      <c r="F195" s="273" t="s">
        <v>3003</v>
      </c>
      <c r="G195" s="139"/>
      <c r="H195" s="139"/>
      <c r="I195" s="139"/>
      <c r="J195" s="139"/>
      <c r="K195" s="139"/>
      <c r="L195" s="139"/>
      <c r="M195" s="139"/>
      <c r="N195" s="139"/>
      <c r="O195" s="139"/>
      <c r="P195" s="139"/>
      <c r="Q195" s="139"/>
      <c r="R195" s="139"/>
      <c r="S195" s="139"/>
      <c r="T195" s="139"/>
      <c r="U195" s="139"/>
      <c r="V195" s="139"/>
      <c r="W195" s="139"/>
      <c r="X195" s="139"/>
      <c r="Y195" s="139"/>
      <c r="Z195" s="139"/>
    </row>
    <row r="196" spans="1:26" ht="33.75" customHeight="1">
      <c r="A196" s="273">
        <v>195</v>
      </c>
      <c r="B196" s="270" t="s">
        <v>3021</v>
      </c>
      <c r="C196" s="396">
        <v>41654</v>
      </c>
      <c r="D196" s="273" t="s">
        <v>21</v>
      </c>
      <c r="E196" s="273" t="s">
        <v>3022</v>
      </c>
      <c r="F196" s="273" t="s">
        <v>2992</v>
      </c>
      <c r="G196" s="139"/>
      <c r="H196" s="139"/>
      <c r="I196" s="139"/>
      <c r="J196" s="139"/>
      <c r="K196" s="139"/>
      <c r="L196" s="139"/>
      <c r="M196" s="139"/>
      <c r="N196" s="139"/>
      <c r="O196" s="139"/>
      <c r="P196" s="139"/>
      <c r="Q196" s="139"/>
      <c r="R196" s="139"/>
      <c r="S196" s="139"/>
      <c r="T196" s="139"/>
      <c r="U196" s="139"/>
      <c r="V196" s="139"/>
      <c r="W196" s="139"/>
      <c r="X196" s="139"/>
      <c r="Y196" s="139"/>
      <c r="Z196" s="139"/>
    </row>
    <row r="197" spans="1:26" ht="33.75" customHeight="1">
      <c r="A197" s="273">
        <v>196</v>
      </c>
      <c r="B197" s="270" t="s">
        <v>3023</v>
      </c>
      <c r="C197" s="396">
        <v>41666</v>
      </c>
      <c r="D197" s="273" t="s">
        <v>21</v>
      </c>
      <c r="E197" s="273" t="s">
        <v>3024</v>
      </c>
      <c r="F197" s="273" t="s">
        <v>3025</v>
      </c>
      <c r="G197" s="139"/>
      <c r="H197" s="139"/>
      <c r="I197" s="139"/>
      <c r="J197" s="139"/>
      <c r="K197" s="139"/>
      <c r="L197" s="139"/>
      <c r="M197" s="139"/>
      <c r="N197" s="139"/>
      <c r="O197" s="139"/>
      <c r="P197" s="139"/>
      <c r="Q197" s="139"/>
      <c r="R197" s="139"/>
      <c r="S197" s="139"/>
      <c r="T197" s="139"/>
      <c r="U197" s="139"/>
      <c r="V197" s="139"/>
      <c r="W197" s="139"/>
      <c r="X197" s="139"/>
      <c r="Y197" s="139"/>
      <c r="Z197" s="139"/>
    </row>
    <row r="198" spans="1:26" ht="33.75" customHeight="1">
      <c r="A198" s="273">
        <v>197</v>
      </c>
      <c r="B198" s="270" t="s">
        <v>3026</v>
      </c>
      <c r="C198" s="396">
        <v>41673</v>
      </c>
      <c r="D198" s="273" t="s">
        <v>21</v>
      </c>
      <c r="E198" s="273" t="s">
        <v>3027</v>
      </c>
      <c r="F198" s="273" t="s">
        <v>3028</v>
      </c>
      <c r="G198" s="139"/>
      <c r="H198" s="139"/>
      <c r="I198" s="139"/>
      <c r="J198" s="139"/>
      <c r="K198" s="139"/>
      <c r="L198" s="139"/>
      <c r="M198" s="139"/>
      <c r="N198" s="139"/>
      <c r="O198" s="139"/>
      <c r="P198" s="139"/>
      <c r="Q198" s="139"/>
      <c r="R198" s="139"/>
      <c r="S198" s="139"/>
      <c r="T198" s="139"/>
      <c r="U198" s="139"/>
      <c r="V198" s="139"/>
      <c r="W198" s="139"/>
      <c r="X198" s="139"/>
      <c r="Y198" s="139"/>
      <c r="Z198" s="139"/>
    </row>
    <row r="199" spans="1:26" ht="33.75" customHeight="1">
      <c r="A199" s="273">
        <v>198</v>
      </c>
      <c r="B199" s="270" t="s">
        <v>3029</v>
      </c>
      <c r="C199" s="396">
        <v>41683</v>
      </c>
      <c r="D199" s="273" t="s">
        <v>21</v>
      </c>
      <c r="E199" s="273" t="s">
        <v>3030</v>
      </c>
      <c r="F199" s="273" t="s">
        <v>3030</v>
      </c>
      <c r="G199" s="139"/>
      <c r="H199" s="139"/>
      <c r="I199" s="139"/>
      <c r="J199" s="139"/>
      <c r="K199" s="139"/>
      <c r="L199" s="139"/>
      <c r="M199" s="139"/>
      <c r="N199" s="139"/>
      <c r="O199" s="139"/>
      <c r="P199" s="139"/>
      <c r="Q199" s="139"/>
      <c r="R199" s="139"/>
      <c r="S199" s="139"/>
      <c r="T199" s="139"/>
      <c r="U199" s="139"/>
      <c r="V199" s="139"/>
      <c r="W199" s="139"/>
      <c r="X199" s="139"/>
      <c r="Y199" s="139"/>
      <c r="Z199" s="139"/>
    </row>
    <row r="200" spans="1:26" ht="33.75" customHeight="1">
      <c r="A200" s="273">
        <v>199</v>
      </c>
      <c r="B200" s="270" t="s">
        <v>3031</v>
      </c>
      <c r="C200" s="396">
        <v>41688</v>
      </c>
      <c r="D200" s="273" t="s">
        <v>21</v>
      </c>
      <c r="E200" s="273" t="s">
        <v>3032</v>
      </c>
      <c r="F200" s="273" t="s">
        <v>3033</v>
      </c>
      <c r="G200" s="139"/>
      <c r="H200" s="139"/>
      <c r="I200" s="139"/>
      <c r="J200" s="139"/>
      <c r="K200" s="139"/>
      <c r="L200" s="139"/>
      <c r="M200" s="139"/>
      <c r="N200" s="139"/>
      <c r="O200" s="139"/>
      <c r="P200" s="139"/>
      <c r="Q200" s="139"/>
      <c r="R200" s="139"/>
      <c r="S200" s="139"/>
      <c r="T200" s="139"/>
      <c r="U200" s="139"/>
      <c r="V200" s="139"/>
      <c r="W200" s="139"/>
      <c r="X200" s="139"/>
      <c r="Y200" s="139"/>
      <c r="Z200" s="139"/>
    </row>
    <row r="201" spans="1:26" ht="90.6" customHeight="1">
      <c r="A201" s="273">
        <v>200</v>
      </c>
      <c r="B201" s="270" t="s">
        <v>3034</v>
      </c>
      <c r="C201" s="396">
        <v>41689</v>
      </c>
      <c r="D201" s="273" t="s">
        <v>21</v>
      </c>
      <c r="E201" s="273" t="s">
        <v>3035</v>
      </c>
      <c r="F201" s="273" t="s">
        <v>3036</v>
      </c>
      <c r="G201" s="139"/>
      <c r="H201" s="139"/>
      <c r="I201" s="139"/>
      <c r="J201" s="139"/>
      <c r="K201" s="139"/>
      <c r="L201" s="139"/>
      <c r="M201" s="139"/>
      <c r="N201" s="139"/>
      <c r="O201" s="139"/>
      <c r="P201" s="139"/>
      <c r="Q201" s="139"/>
      <c r="R201" s="139"/>
      <c r="S201" s="139"/>
      <c r="T201" s="139"/>
      <c r="U201" s="139"/>
      <c r="V201" s="139"/>
      <c r="W201" s="139"/>
      <c r="X201" s="139"/>
      <c r="Y201" s="139"/>
      <c r="Z201" s="139"/>
    </row>
    <row r="202" spans="1:26" ht="33.75" customHeight="1">
      <c r="A202" s="273">
        <v>201</v>
      </c>
      <c r="B202" s="270" t="s">
        <v>3037</v>
      </c>
      <c r="C202" s="396">
        <v>41697</v>
      </c>
      <c r="D202" s="273" t="s">
        <v>21</v>
      </c>
      <c r="E202" s="273" t="s">
        <v>3038</v>
      </c>
      <c r="F202" s="273" t="s">
        <v>3006</v>
      </c>
      <c r="G202" s="139"/>
      <c r="H202" s="139"/>
      <c r="I202" s="139"/>
      <c r="J202" s="139"/>
      <c r="K202" s="139"/>
      <c r="L202" s="139"/>
      <c r="M202" s="139"/>
      <c r="N202" s="139"/>
      <c r="O202" s="139"/>
      <c r="P202" s="139"/>
      <c r="Q202" s="139"/>
      <c r="R202" s="139"/>
      <c r="S202" s="139"/>
      <c r="T202" s="139"/>
      <c r="U202" s="139"/>
      <c r="V202" s="139"/>
      <c r="W202" s="139"/>
      <c r="X202" s="139"/>
      <c r="Y202" s="139"/>
      <c r="Z202" s="139"/>
    </row>
    <row r="203" spans="1:26" ht="33.75" customHeight="1">
      <c r="A203" s="273">
        <v>202</v>
      </c>
      <c r="B203" s="270" t="s">
        <v>3039</v>
      </c>
      <c r="C203" s="396">
        <v>41704</v>
      </c>
      <c r="D203" s="273" t="s">
        <v>21</v>
      </c>
      <c r="E203" s="273" t="s">
        <v>3040</v>
      </c>
      <c r="F203" s="273" t="s">
        <v>3041</v>
      </c>
      <c r="G203" s="139"/>
      <c r="H203" s="139"/>
      <c r="I203" s="139"/>
      <c r="J203" s="139"/>
      <c r="K203" s="139"/>
      <c r="L203" s="139"/>
      <c r="M203" s="139"/>
      <c r="N203" s="139"/>
      <c r="O203" s="139"/>
      <c r="P203" s="139"/>
      <c r="Q203" s="139"/>
      <c r="R203" s="139"/>
      <c r="S203" s="139"/>
      <c r="T203" s="139"/>
      <c r="U203" s="139"/>
      <c r="V203" s="139"/>
      <c r="W203" s="139"/>
      <c r="X203" s="139"/>
      <c r="Y203" s="139"/>
      <c r="Z203" s="139"/>
    </row>
    <row r="204" spans="1:26" ht="33.75" customHeight="1">
      <c r="A204" s="273">
        <v>203</v>
      </c>
      <c r="B204" s="270" t="s">
        <v>3042</v>
      </c>
      <c r="C204" s="396">
        <v>41718</v>
      </c>
      <c r="D204" s="273" t="s">
        <v>21</v>
      </c>
      <c r="E204" s="273" t="s">
        <v>3043</v>
      </c>
      <c r="F204" s="273" t="s">
        <v>3044</v>
      </c>
      <c r="G204" s="139"/>
      <c r="H204" s="139"/>
      <c r="I204" s="139"/>
      <c r="J204" s="139"/>
      <c r="K204" s="139"/>
      <c r="L204" s="139"/>
      <c r="M204" s="139"/>
      <c r="N204" s="139"/>
      <c r="O204" s="139"/>
      <c r="P204" s="139"/>
      <c r="Q204" s="139"/>
      <c r="R204" s="139"/>
      <c r="S204" s="139"/>
      <c r="T204" s="139"/>
      <c r="U204" s="139"/>
      <c r="V204" s="139"/>
      <c r="W204" s="139"/>
      <c r="X204" s="139"/>
      <c r="Y204" s="139"/>
      <c r="Z204" s="139"/>
    </row>
    <row r="205" spans="1:26" ht="33.75" customHeight="1">
      <c r="A205" s="273">
        <v>204</v>
      </c>
      <c r="B205" s="270" t="s">
        <v>3045</v>
      </c>
      <c r="C205" s="396">
        <v>41744</v>
      </c>
      <c r="D205" s="273" t="s">
        <v>21</v>
      </c>
      <c r="E205" s="273" t="s">
        <v>3046</v>
      </c>
      <c r="F205" s="273" t="s">
        <v>1593</v>
      </c>
      <c r="G205" s="139"/>
      <c r="H205" s="139"/>
      <c r="I205" s="139"/>
      <c r="J205" s="139"/>
      <c r="K205" s="139"/>
      <c r="L205" s="139"/>
      <c r="M205" s="139"/>
      <c r="N205" s="139"/>
      <c r="O205" s="139"/>
      <c r="P205" s="139"/>
      <c r="Q205" s="139"/>
      <c r="R205" s="139"/>
      <c r="S205" s="139"/>
      <c r="T205" s="139"/>
      <c r="U205" s="139"/>
      <c r="V205" s="139"/>
      <c r="W205" s="139"/>
      <c r="X205" s="139"/>
      <c r="Y205" s="139"/>
      <c r="Z205" s="139"/>
    </row>
    <row r="206" spans="1:26" ht="33.75" customHeight="1">
      <c r="A206" s="273">
        <v>205</v>
      </c>
      <c r="B206" s="270" t="s">
        <v>3047</v>
      </c>
      <c r="C206" s="396">
        <v>41806</v>
      </c>
      <c r="D206" s="273" t="s">
        <v>21</v>
      </c>
      <c r="E206" s="273" t="s">
        <v>3048</v>
      </c>
      <c r="F206" s="273" t="s">
        <v>3049</v>
      </c>
      <c r="G206" s="139"/>
      <c r="H206" s="139"/>
      <c r="I206" s="139"/>
      <c r="J206" s="139"/>
      <c r="K206" s="139"/>
      <c r="L206" s="139"/>
      <c r="M206" s="139"/>
      <c r="N206" s="139"/>
      <c r="O206" s="139"/>
      <c r="P206" s="139"/>
      <c r="Q206" s="139"/>
      <c r="R206" s="139"/>
      <c r="S206" s="139"/>
      <c r="T206" s="139"/>
      <c r="U206" s="139"/>
      <c r="V206" s="139"/>
      <c r="W206" s="139"/>
      <c r="X206" s="139"/>
      <c r="Y206" s="139"/>
      <c r="Z206" s="139"/>
    </row>
    <row r="207" spans="1:26" ht="33.75" customHeight="1">
      <c r="A207" s="273">
        <v>206</v>
      </c>
      <c r="B207" s="270" t="s">
        <v>3050</v>
      </c>
      <c r="C207" s="396">
        <v>41809</v>
      </c>
      <c r="D207" s="273" t="s">
        <v>21</v>
      </c>
      <c r="E207" s="273" t="s">
        <v>3051</v>
      </c>
      <c r="F207" s="273" t="s">
        <v>3052</v>
      </c>
      <c r="G207" s="139"/>
      <c r="H207" s="139"/>
      <c r="I207" s="139"/>
      <c r="J207" s="139"/>
      <c r="K207" s="139"/>
      <c r="L207" s="139"/>
      <c r="M207" s="139"/>
      <c r="N207" s="139"/>
      <c r="O207" s="139"/>
      <c r="P207" s="139"/>
      <c r="Q207" s="139"/>
      <c r="R207" s="139"/>
      <c r="S207" s="139"/>
      <c r="T207" s="139"/>
      <c r="U207" s="139"/>
      <c r="V207" s="139"/>
      <c r="W207" s="139"/>
      <c r="X207" s="139"/>
      <c r="Y207" s="139"/>
      <c r="Z207" s="139"/>
    </row>
    <row r="208" spans="1:26" ht="33.75" customHeight="1">
      <c r="A208" s="273">
        <v>207</v>
      </c>
      <c r="B208" s="270" t="s">
        <v>3053</v>
      </c>
      <c r="C208" s="396">
        <v>41816</v>
      </c>
      <c r="D208" s="273" t="s">
        <v>21</v>
      </c>
      <c r="E208" s="273" t="s">
        <v>3054</v>
      </c>
      <c r="F208" s="273" t="s">
        <v>2133</v>
      </c>
      <c r="G208" s="139"/>
      <c r="H208" s="139"/>
      <c r="I208" s="139"/>
      <c r="J208" s="139"/>
      <c r="K208" s="139"/>
      <c r="L208" s="139"/>
      <c r="M208" s="139"/>
      <c r="N208" s="139"/>
      <c r="O208" s="139"/>
      <c r="P208" s="139"/>
      <c r="Q208" s="139"/>
      <c r="R208" s="139"/>
      <c r="S208" s="139"/>
      <c r="T208" s="139"/>
      <c r="U208" s="139"/>
      <c r="V208" s="139"/>
      <c r="W208" s="139"/>
      <c r="X208" s="139"/>
      <c r="Y208" s="139"/>
      <c r="Z208" s="139"/>
    </row>
    <row r="209" spans="1:26" ht="33.75" customHeight="1">
      <c r="A209" s="273">
        <v>208</v>
      </c>
      <c r="B209" s="270" t="s">
        <v>3055</v>
      </c>
      <c r="C209" s="396">
        <v>41820</v>
      </c>
      <c r="D209" s="273" t="s">
        <v>21</v>
      </c>
      <c r="E209" s="273" t="s">
        <v>3056</v>
      </c>
      <c r="F209" s="273" t="s">
        <v>3057</v>
      </c>
      <c r="G209" s="139"/>
      <c r="H209" s="139"/>
      <c r="I209" s="139"/>
      <c r="J209" s="139"/>
      <c r="K209" s="139"/>
      <c r="L209" s="139"/>
      <c r="M209" s="139"/>
      <c r="N209" s="139"/>
      <c r="O209" s="139"/>
      <c r="P209" s="139"/>
      <c r="Q209" s="139"/>
      <c r="R209" s="139"/>
      <c r="S209" s="139"/>
      <c r="T209" s="139"/>
      <c r="U209" s="139"/>
      <c r="V209" s="139"/>
      <c r="W209" s="139"/>
      <c r="X209" s="139"/>
      <c r="Y209" s="139"/>
      <c r="Z209" s="139"/>
    </row>
    <row r="210" spans="1:26" ht="33.75" customHeight="1">
      <c r="A210" s="273">
        <v>209</v>
      </c>
      <c r="B210" s="270" t="s">
        <v>3058</v>
      </c>
      <c r="C210" s="396">
        <v>41848</v>
      </c>
      <c r="D210" s="273" t="s">
        <v>21</v>
      </c>
      <c r="E210" s="273" t="s">
        <v>3059</v>
      </c>
      <c r="F210" s="273" t="s">
        <v>3060</v>
      </c>
      <c r="G210" s="139"/>
      <c r="H210" s="139"/>
      <c r="I210" s="139"/>
      <c r="J210" s="139"/>
      <c r="K210" s="139"/>
      <c r="L210" s="139"/>
      <c r="M210" s="139"/>
      <c r="N210" s="139"/>
      <c r="O210" s="139"/>
      <c r="P210" s="139"/>
      <c r="Q210" s="139"/>
      <c r="R210" s="139"/>
      <c r="S210" s="139"/>
      <c r="T210" s="139"/>
      <c r="U210" s="139"/>
      <c r="V210" s="139"/>
      <c r="W210" s="139"/>
      <c r="X210" s="139"/>
      <c r="Y210" s="139"/>
      <c r="Z210" s="139"/>
    </row>
    <row r="211" spans="1:26" ht="33.75" customHeight="1">
      <c r="A211" s="273">
        <v>210</v>
      </c>
      <c r="B211" s="270" t="s">
        <v>3061</v>
      </c>
      <c r="C211" s="396">
        <v>41857</v>
      </c>
      <c r="D211" s="273" t="s">
        <v>21</v>
      </c>
      <c r="E211" s="273" t="s">
        <v>3062</v>
      </c>
      <c r="F211" s="273" t="s">
        <v>3063</v>
      </c>
      <c r="G211" s="139"/>
      <c r="H211" s="139"/>
      <c r="I211" s="139"/>
      <c r="J211" s="139"/>
      <c r="K211" s="139"/>
      <c r="L211" s="139"/>
      <c r="M211" s="139"/>
      <c r="N211" s="139"/>
      <c r="O211" s="139"/>
      <c r="P211" s="139"/>
      <c r="Q211" s="139"/>
      <c r="R211" s="139"/>
      <c r="S211" s="139"/>
      <c r="T211" s="139"/>
      <c r="U211" s="139"/>
      <c r="V211" s="139"/>
      <c r="W211" s="139"/>
      <c r="X211" s="139"/>
      <c r="Y211" s="139"/>
      <c r="Z211" s="139"/>
    </row>
    <row r="212" spans="1:26" ht="33.75" customHeight="1">
      <c r="A212" s="273">
        <v>211</v>
      </c>
      <c r="B212" s="270" t="s">
        <v>3064</v>
      </c>
      <c r="C212" s="396">
        <v>41876</v>
      </c>
      <c r="D212" s="273" t="s">
        <v>21</v>
      </c>
      <c r="E212" s="273" t="s">
        <v>3065</v>
      </c>
      <c r="F212" s="273" t="s">
        <v>3066</v>
      </c>
      <c r="G212" s="139"/>
      <c r="H212" s="139"/>
      <c r="I212" s="139"/>
      <c r="J212" s="139"/>
      <c r="K212" s="139"/>
      <c r="L212" s="139"/>
      <c r="M212" s="139"/>
      <c r="N212" s="139"/>
      <c r="O212" s="139"/>
      <c r="P212" s="139"/>
      <c r="Q212" s="139"/>
      <c r="R212" s="139"/>
      <c r="S212" s="139"/>
      <c r="T212" s="139"/>
      <c r="U212" s="139"/>
      <c r="V212" s="139"/>
      <c r="W212" s="139"/>
      <c r="X212" s="139"/>
      <c r="Y212" s="139"/>
      <c r="Z212" s="139"/>
    </row>
    <row r="213" spans="1:26" ht="33.75" customHeight="1">
      <c r="A213" s="273">
        <v>212</v>
      </c>
      <c r="B213" s="270" t="s">
        <v>3067</v>
      </c>
      <c r="C213" s="396">
        <v>41890</v>
      </c>
      <c r="D213" s="273" t="s">
        <v>21</v>
      </c>
      <c r="E213" s="273" t="s">
        <v>3068</v>
      </c>
      <c r="F213" s="273" t="s">
        <v>3069</v>
      </c>
      <c r="G213" s="139"/>
      <c r="H213" s="139"/>
      <c r="I213" s="139"/>
      <c r="J213" s="139"/>
      <c r="K213" s="139"/>
      <c r="L213" s="139"/>
      <c r="M213" s="139"/>
      <c r="N213" s="139"/>
      <c r="O213" s="139"/>
      <c r="P213" s="139"/>
      <c r="Q213" s="139"/>
      <c r="R213" s="139"/>
      <c r="S213" s="139"/>
      <c r="T213" s="139"/>
      <c r="U213" s="139"/>
      <c r="V213" s="139"/>
      <c r="W213" s="139"/>
      <c r="X213" s="139"/>
      <c r="Y213" s="139"/>
      <c r="Z213" s="139"/>
    </row>
    <row r="214" spans="1:26" ht="33.75" customHeight="1">
      <c r="A214" s="273">
        <v>213</v>
      </c>
      <c r="B214" s="270" t="s">
        <v>3070</v>
      </c>
      <c r="C214" s="396">
        <v>42032</v>
      </c>
      <c r="D214" s="273" t="s">
        <v>21</v>
      </c>
      <c r="E214" s="273" t="s">
        <v>3071</v>
      </c>
      <c r="F214" s="273" t="s">
        <v>3072</v>
      </c>
      <c r="G214" s="139"/>
      <c r="H214" s="139"/>
      <c r="I214" s="139"/>
      <c r="J214" s="139"/>
      <c r="K214" s="139"/>
      <c r="L214" s="139"/>
      <c r="M214" s="139"/>
      <c r="N214" s="139"/>
      <c r="O214" s="139"/>
      <c r="P214" s="139"/>
      <c r="Q214" s="139"/>
      <c r="R214" s="139"/>
      <c r="S214" s="139"/>
      <c r="T214" s="139"/>
      <c r="U214" s="139"/>
      <c r="V214" s="139"/>
      <c r="W214" s="139"/>
      <c r="X214" s="139"/>
      <c r="Y214" s="139"/>
      <c r="Z214" s="139"/>
    </row>
    <row r="215" spans="1:26" ht="33.75" customHeight="1">
      <c r="A215" s="273">
        <v>214</v>
      </c>
      <c r="B215" s="270" t="s">
        <v>3073</v>
      </c>
      <c r="C215" s="399">
        <v>42198</v>
      </c>
      <c r="D215" s="273" t="s">
        <v>21</v>
      </c>
      <c r="E215" s="273" t="s">
        <v>3074</v>
      </c>
      <c r="F215" s="273" t="s">
        <v>1718</v>
      </c>
      <c r="G215" s="139"/>
      <c r="H215" s="139"/>
      <c r="I215" s="139"/>
      <c r="J215" s="139"/>
      <c r="K215" s="139"/>
      <c r="L215" s="139"/>
      <c r="M215" s="139"/>
      <c r="N215" s="139"/>
      <c r="O215" s="139"/>
      <c r="P215" s="139"/>
      <c r="Q215" s="139"/>
      <c r="R215" s="139"/>
      <c r="S215" s="139"/>
      <c r="T215" s="139"/>
      <c r="U215" s="139"/>
      <c r="V215" s="139"/>
      <c r="W215" s="139"/>
      <c r="X215" s="139"/>
      <c r="Y215" s="139"/>
      <c r="Z215" s="139"/>
    </row>
    <row r="216" spans="1:26" ht="33.75" customHeight="1">
      <c r="A216" s="273">
        <v>215</v>
      </c>
      <c r="B216" s="270" t="s">
        <v>3075</v>
      </c>
      <c r="C216" s="396">
        <v>42205</v>
      </c>
      <c r="D216" s="273" t="s">
        <v>21</v>
      </c>
      <c r="E216" s="273" t="s">
        <v>3076</v>
      </c>
      <c r="F216" s="273" t="s">
        <v>3077</v>
      </c>
      <c r="G216" s="139"/>
      <c r="H216" s="139"/>
      <c r="I216" s="139"/>
      <c r="J216" s="139"/>
      <c r="K216" s="139"/>
      <c r="L216" s="139"/>
      <c r="M216" s="139"/>
      <c r="N216" s="139"/>
      <c r="O216" s="139"/>
      <c r="P216" s="139"/>
      <c r="Q216" s="139"/>
      <c r="R216" s="139"/>
      <c r="S216" s="139"/>
      <c r="T216" s="139"/>
      <c r="U216" s="139"/>
      <c r="V216" s="139"/>
      <c r="W216" s="139"/>
      <c r="X216" s="139"/>
      <c r="Y216" s="139"/>
      <c r="Z216" s="139"/>
    </row>
    <row r="217" spans="1:26" ht="33.75" customHeight="1">
      <c r="A217" s="273">
        <v>216</v>
      </c>
      <c r="B217" s="270" t="s">
        <v>3078</v>
      </c>
      <c r="C217" s="396">
        <v>42226</v>
      </c>
      <c r="D217" s="273" t="s">
        <v>21</v>
      </c>
      <c r="E217" s="273" t="s">
        <v>3079</v>
      </c>
      <c r="F217" s="273" t="s">
        <v>3077</v>
      </c>
      <c r="G217" s="139"/>
      <c r="H217" s="139"/>
      <c r="I217" s="139"/>
      <c r="J217" s="139"/>
      <c r="K217" s="139"/>
      <c r="L217" s="139"/>
      <c r="M217" s="139"/>
      <c r="N217" s="139"/>
      <c r="O217" s="139"/>
      <c r="P217" s="139"/>
      <c r="Q217" s="139"/>
      <c r="R217" s="139"/>
      <c r="S217" s="139"/>
      <c r="T217" s="139"/>
      <c r="U217" s="139"/>
      <c r="V217" s="139"/>
      <c r="W217" s="139"/>
      <c r="X217" s="139"/>
      <c r="Y217" s="139"/>
      <c r="Z217" s="139"/>
    </row>
    <row r="218" spans="1:26" ht="33.75" customHeight="1">
      <c r="A218" s="273">
        <v>217</v>
      </c>
      <c r="B218" s="270" t="s">
        <v>3080</v>
      </c>
      <c r="C218" s="396">
        <v>42234</v>
      </c>
      <c r="D218" s="273" t="s">
        <v>21</v>
      </c>
      <c r="E218" s="273" t="s">
        <v>3081</v>
      </c>
      <c r="F218" s="273" t="s">
        <v>3082</v>
      </c>
      <c r="G218" s="139"/>
      <c r="H218" s="139"/>
      <c r="I218" s="139"/>
      <c r="J218" s="139"/>
      <c r="K218" s="139"/>
      <c r="L218" s="139"/>
      <c r="M218" s="139"/>
      <c r="N218" s="139"/>
      <c r="O218" s="139"/>
      <c r="P218" s="139"/>
      <c r="Q218" s="139"/>
      <c r="R218" s="139"/>
      <c r="S218" s="139"/>
      <c r="T218" s="139"/>
      <c r="U218" s="139"/>
      <c r="V218" s="139"/>
      <c r="W218" s="139"/>
      <c r="X218" s="139"/>
      <c r="Y218" s="139"/>
      <c r="Z218" s="139"/>
    </row>
    <row r="219" spans="1:26" ht="33.75" customHeight="1">
      <c r="A219" s="273">
        <v>218</v>
      </c>
      <c r="B219" s="270" t="s">
        <v>3083</v>
      </c>
      <c r="C219" s="396">
        <v>42272</v>
      </c>
      <c r="D219" s="273" t="s">
        <v>21</v>
      </c>
      <c r="E219" s="273" t="s">
        <v>3084</v>
      </c>
      <c r="F219" s="273" t="s">
        <v>3077</v>
      </c>
      <c r="G219" s="139"/>
      <c r="H219" s="139"/>
      <c r="I219" s="139"/>
      <c r="J219" s="139"/>
      <c r="K219" s="139"/>
      <c r="L219" s="139"/>
      <c r="M219" s="139"/>
      <c r="N219" s="139"/>
      <c r="O219" s="139"/>
      <c r="P219" s="139"/>
      <c r="Q219" s="139"/>
      <c r="R219" s="139"/>
      <c r="S219" s="139"/>
      <c r="T219" s="139"/>
      <c r="U219" s="139"/>
      <c r="V219" s="139"/>
      <c r="W219" s="139"/>
      <c r="X219" s="139"/>
      <c r="Y219" s="139"/>
      <c r="Z219" s="139"/>
    </row>
    <row r="220" spans="1:26" ht="33.75" customHeight="1">
      <c r="A220" s="273">
        <v>219</v>
      </c>
      <c r="B220" s="270" t="s">
        <v>3085</v>
      </c>
      <c r="C220" s="396">
        <v>42324</v>
      </c>
      <c r="D220" s="273" t="s">
        <v>21</v>
      </c>
      <c r="E220" s="273" t="s">
        <v>3086</v>
      </c>
      <c r="F220" s="273" t="s">
        <v>3006</v>
      </c>
      <c r="G220" s="139"/>
      <c r="H220" s="139"/>
      <c r="I220" s="139"/>
      <c r="J220" s="139"/>
      <c r="K220" s="139"/>
      <c r="L220" s="139"/>
      <c r="M220" s="139"/>
      <c r="N220" s="139"/>
      <c r="O220" s="139"/>
      <c r="P220" s="139"/>
      <c r="Q220" s="139"/>
      <c r="R220" s="139"/>
      <c r="S220" s="139"/>
      <c r="T220" s="139"/>
      <c r="U220" s="139"/>
      <c r="V220" s="139"/>
      <c r="W220" s="139"/>
      <c r="X220" s="139"/>
      <c r="Y220" s="139"/>
      <c r="Z220" s="139"/>
    </row>
    <row r="221" spans="1:26" ht="33.75" customHeight="1">
      <c r="A221" s="273">
        <v>220</v>
      </c>
      <c r="B221" s="270" t="s">
        <v>3087</v>
      </c>
      <c r="C221" s="396">
        <v>42437</v>
      </c>
      <c r="D221" s="273" t="s">
        <v>21</v>
      </c>
      <c r="E221" s="273" t="s">
        <v>3088</v>
      </c>
      <c r="F221" s="273" t="s">
        <v>3082</v>
      </c>
      <c r="G221" s="139"/>
      <c r="H221" s="139"/>
      <c r="I221" s="139"/>
      <c r="J221" s="139"/>
      <c r="K221" s="139"/>
      <c r="L221" s="139"/>
      <c r="M221" s="139"/>
      <c r="N221" s="139"/>
      <c r="O221" s="139"/>
      <c r="P221" s="139"/>
      <c r="Q221" s="139"/>
      <c r="R221" s="139"/>
      <c r="S221" s="139"/>
      <c r="T221" s="139"/>
      <c r="U221" s="139"/>
      <c r="V221" s="139"/>
      <c r="W221" s="139"/>
      <c r="X221" s="139"/>
      <c r="Y221" s="139"/>
      <c r="Z221" s="139"/>
    </row>
    <row r="222" spans="1:26" ht="33.75" customHeight="1">
      <c r="A222" s="273">
        <v>221</v>
      </c>
      <c r="B222" s="270" t="s">
        <v>3089</v>
      </c>
      <c r="C222" s="396">
        <v>42447</v>
      </c>
      <c r="D222" s="273" t="s">
        <v>21</v>
      </c>
      <c r="E222" s="273" t="s">
        <v>3090</v>
      </c>
      <c r="F222" s="273" t="s">
        <v>3006</v>
      </c>
      <c r="G222" s="139"/>
      <c r="H222" s="139"/>
      <c r="I222" s="139"/>
      <c r="J222" s="139"/>
      <c r="K222" s="139"/>
      <c r="L222" s="139"/>
      <c r="M222" s="139"/>
      <c r="N222" s="139"/>
      <c r="O222" s="139"/>
      <c r="P222" s="139"/>
      <c r="Q222" s="139"/>
      <c r="R222" s="139"/>
      <c r="S222" s="139"/>
      <c r="T222" s="139"/>
      <c r="U222" s="139"/>
      <c r="V222" s="139"/>
      <c r="W222" s="139"/>
      <c r="X222" s="139"/>
      <c r="Y222" s="139"/>
      <c r="Z222" s="139"/>
    </row>
    <row r="223" spans="1:26" ht="33.75" customHeight="1">
      <c r="A223" s="273">
        <v>222</v>
      </c>
      <c r="B223" s="270" t="s">
        <v>3091</v>
      </c>
      <c r="C223" s="396">
        <v>42503</v>
      </c>
      <c r="D223" s="273" t="s">
        <v>21</v>
      </c>
      <c r="E223" s="273" t="s">
        <v>3092</v>
      </c>
      <c r="F223" s="273" t="s">
        <v>1593</v>
      </c>
      <c r="G223" s="139"/>
      <c r="H223" s="139"/>
      <c r="I223" s="139"/>
      <c r="J223" s="139"/>
      <c r="K223" s="139"/>
      <c r="L223" s="139"/>
      <c r="M223" s="139"/>
      <c r="N223" s="139"/>
      <c r="O223" s="139"/>
      <c r="P223" s="139"/>
      <c r="Q223" s="139"/>
      <c r="R223" s="139"/>
      <c r="S223" s="139"/>
      <c r="T223" s="139"/>
      <c r="U223" s="139"/>
      <c r="V223" s="139"/>
      <c r="W223" s="139"/>
      <c r="X223" s="139"/>
      <c r="Y223" s="139"/>
      <c r="Z223" s="139"/>
    </row>
    <row r="224" spans="1:26" ht="33.75" customHeight="1">
      <c r="A224" s="273">
        <v>223</v>
      </c>
      <c r="B224" s="270" t="s">
        <v>3093</v>
      </c>
      <c r="C224" s="396">
        <v>42513</v>
      </c>
      <c r="D224" s="273" t="s">
        <v>21</v>
      </c>
      <c r="E224" s="273" t="s">
        <v>3094</v>
      </c>
      <c r="F224" s="273" t="s">
        <v>3095</v>
      </c>
      <c r="G224" s="139"/>
      <c r="H224" s="139"/>
      <c r="I224" s="139"/>
      <c r="J224" s="139"/>
      <c r="K224" s="139"/>
      <c r="L224" s="139"/>
      <c r="M224" s="139"/>
      <c r="N224" s="139"/>
      <c r="O224" s="139"/>
      <c r="P224" s="139"/>
      <c r="Q224" s="139"/>
      <c r="R224" s="139"/>
      <c r="S224" s="139"/>
      <c r="T224" s="139"/>
      <c r="U224" s="139"/>
      <c r="V224" s="139"/>
      <c r="W224" s="139"/>
      <c r="X224" s="139"/>
      <c r="Y224" s="139"/>
      <c r="Z224" s="139"/>
    </row>
    <row r="225" spans="1:26" ht="86.4">
      <c r="A225" s="273">
        <v>224</v>
      </c>
      <c r="B225" s="270" t="s">
        <v>3096</v>
      </c>
      <c r="C225" s="396">
        <v>42789</v>
      </c>
      <c r="D225" s="273" t="s">
        <v>21</v>
      </c>
      <c r="E225" s="273" t="s">
        <v>3097</v>
      </c>
      <c r="F225" s="273" t="s">
        <v>3098</v>
      </c>
      <c r="G225" s="139"/>
      <c r="H225" s="139"/>
      <c r="I225" s="139"/>
      <c r="J225" s="139"/>
      <c r="K225" s="139"/>
      <c r="L225" s="139"/>
      <c r="M225" s="139"/>
      <c r="N225" s="139"/>
      <c r="O225" s="139"/>
      <c r="P225" s="139"/>
      <c r="Q225" s="139"/>
      <c r="R225" s="139"/>
      <c r="S225" s="139"/>
      <c r="T225" s="139"/>
      <c r="U225" s="139"/>
      <c r="V225" s="139"/>
      <c r="W225" s="139"/>
      <c r="X225" s="139"/>
      <c r="Y225" s="139"/>
      <c r="Z225" s="139"/>
    </row>
    <row r="226" spans="1:26" ht="72">
      <c r="A226" s="273">
        <v>225</v>
      </c>
      <c r="B226" s="270" t="s">
        <v>3099</v>
      </c>
      <c r="C226" s="396">
        <v>42789</v>
      </c>
      <c r="D226" s="273" t="s">
        <v>21</v>
      </c>
      <c r="E226" s="273" t="s">
        <v>3100</v>
      </c>
      <c r="F226" s="273" t="s">
        <v>3101</v>
      </c>
      <c r="G226" s="139"/>
      <c r="H226" s="139"/>
      <c r="I226" s="139"/>
      <c r="J226" s="139"/>
      <c r="K226" s="139"/>
      <c r="L226" s="139"/>
      <c r="M226" s="139"/>
      <c r="N226" s="139"/>
      <c r="O226" s="139"/>
      <c r="P226" s="139"/>
      <c r="Q226" s="139"/>
      <c r="R226" s="139"/>
      <c r="S226" s="139"/>
      <c r="T226" s="139"/>
      <c r="U226" s="139"/>
      <c r="V226" s="139"/>
      <c r="W226" s="139"/>
      <c r="X226" s="139"/>
      <c r="Y226" s="139"/>
      <c r="Z226" s="139"/>
    </row>
    <row r="227" spans="1:26" ht="144">
      <c r="A227" s="273">
        <v>226</v>
      </c>
      <c r="B227" s="270" t="s">
        <v>3102</v>
      </c>
      <c r="C227" s="396">
        <v>42831</v>
      </c>
      <c r="D227" s="273" t="s">
        <v>21</v>
      </c>
      <c r="E227" s="273" t="s">
        <v>3103</v>
      </c>
      <c r="F227" s="273" t="s">
        <v>3104</v>
      </c>
      <c r="G227" s="139"/>
      <c r="H227" s="139"/>
      <c r="I227" s="139"/>
      <c r="J227" s="139"/>
      <c r="K227" s="139"/>
      <c r="L227" s="139"/>
      <c r="M227" s="139"/>
      <c r="N227" s="139"/>
      <c r="O227" s="139"/>
      <c r="P227" s="139"/>
      <c r="Q227" s="139"/>
      <c r="R227" s="139"/>
      <c r="S227" s="139"/>
      <c r="T227" s="139"/>
      <c r="U227" s="139"/>
      <c r="V227" s="139"/>
      <c r="W227" s="139"/>
      <c r="X227" s="139"/>
      <c r="Y227" s="139"/>
      <c r="Z227" s="139"/>
    </row>
    <row r="228" spans="1:26" ht="33.75" customHeight="1">
      <c r="A228" s="273">
        <v>227</v>
      </c>
      <c r="B228" s="270" t="s">
        <v>3105</v>
      </c>
      <c r="C228" s="396">
        <v>42879</v>
      </c>
      <c r="D228" s="273" t="s">
        <v>21</v>
      </c>
      <c r="E228" s="273" t="s">
        <v>3106</v>
      </c>
      <c r="F228" s="273" t="s">
        <v>3072</v>
      </c>
      <c r="G228" s="139"/>
      <c r="H228" s="139"/>
      <c r="I228" s="139"/>
      <c r="J228" s="139"/>
      <c r="K228" s="139"/>
      <c r="L228" s="139"/>
      <c r="M228" s="139"/>
      <c r="N228" s="139"/>
      <c r="O228" s="139"/>
      <c r="P228" s="139"/>
      <c r="Q228" s="139"/>
      <c r="R228" s="139"/>
      <c r="S228" s="139"/>
      <c r="T228" s="139"/>
      <c r="U228" s="139"/>
      <c r="V228" s="139"/>
      <c r="W228" s="139"/>
      <c r="X228" s="139"/>
      <c r="Y228" s="139"/>
      <c r="Z228" s="139"/>
    </row>
    <row r="229" spans="1:26" ht="33.75" customHeight="1">
      <c r="A229" s="273">
        <v>228</v>
      </c>
      <c r="B229" s="270" t="s">
        <v>3107</v>
      </c>
      <c r="C229" s="396">
        <v>42885</v>
      </c>
      <c r="D229" s="273" t="s">
        <v>21</v>
      </c>
      <c r="E229" s="273" t="s">
        <v>3108</v>
      </c>
      <c r="F229" s="273" t="s">
        <v>3109</v>
      </c>
      <c r="G229" s="139"/>
      <c r="H229" s="139"/>
      <c r="I229" s="139"/>
      <c r="J229" s="139"/>
      <c r="K229" s="139"/>
      <c r="L229" s="139"/>
      <c r="M229" s="139"/>
      <c r="N229" s="139"/>
      <c r="O229" s="139"/>
      <c r="P229" s="139"/>
      <c r="Q229" s="139"/>
      <c r="R229" s="139"/>
      <c r="S229" s="139"/>
      <c r="T229" s="139"/>
      <c r="U229" s="139"/>
      <c r="V229" s="139"/>
      <c r="W229" s="139"/>
      <c r="X229" s="139"/>
      <c r="Y229" s="139"/>
      <c r="Z229" s="139"/>
    </row>
    <row r="230" spans="1:26" ht="129.6">
      <c r="A230" s="273">
        <v>229</v>
      </c>
      <c r="B230" s="270" t="s">
        <v>3110</v>
      </c>
      <c r="C230" s="396">
        <v>42885</v>
      </c>
      <c r="D230" s="273" t="s">
        <v>21</v>
      </c>
      <c r="E230" s="273" t="s">
        <v>3111</v>
      </c>
      <c r="F230" s="273" t="s">
        <v>432</v>
      </c>
      <c r="G230" s="139"/>
      <c r="H230" s="139"/>
      <c r="I230" s="139"/>
      <c r="J230" s="139"/>
      <c r="K230" s="139"/>
      <c r="L230" s="139"/>
      <c r="M230" s="139"/>
      <c r="N230" s="139"/>
      <c r="O230" s="139"/>
      <c r="P230" s="139"/>
      <c r="Q230" s="139"/>
      <c r="R230" s="139"/>
      <c r="S230" s="139"/>
      <c r="T230" s="139"/>
      <c r="U230" s="139"/>
      <c r="V230" s="139"/>
      <c r="W230" s="139"/>
      <c r="X230" s="139"/>
      <c r="Y230" s="139"/>
      <c r="Z230" s="139"/>
    </row>
    <row r="231" spans="1:26" ht="115.2">
      <c r="A231" s="273">
        <v>230</v>
      </c>
      <c r="B231" s="270" t="s">
        <v>3112</v>
      </c>
      <c r="C231" s="396">
        <v>42885</v>
      </c>
      <c r="D231" s="273" t="s">
        <v>21</v>
      </c>
      <c r="E231" s="273" t="s">
        <v>3113</v>
      </c>
      <c r="F231" s="273" t="s">
        <v>1807</v>
      </c>
      <c r="G231" s="139"/>
      <c r="H231" s="139"/>
      <c r="I231" s="139"/>
      <c r="J231" s="139"/>
      <c r="K231" s="139"/>
      <c r="L231" s="139"/>
      <c r="M231" s="139"/>
      <c r="N231" s="139"/>
      <c r="O231" s="139"/>
      <c r="P231" s="139"/>
      <c r="Q231" s="139"/>
      <c r="R231" s="139"/>
      <c r="S231" s="139"/>
      <c r="T231" s="139"/>
      <c r="U231" s="139"/>
      <c r="V231" s="139"/>
      <c r="W231" s="139"/>
      <c r="X231" s="139"/>
      <c r="Y231" s="139"/>
      <c r="Z231" s="139"/>
    </row>
    <row r="232" spans="1:26" ht="158.4">
      <c r="A232" s="273">
        <v>231</v>
      </c>
      <c r="B232" s="270" t="s">
        <v>3114</v>
      </c>
      <c r="C232" s="396">
        <v>42892</v>
      </c>
      <c r="D232" s="273" t="s">
        <v>21</v>
      </c>
      <c r="E232" s="273" t="s">
        <v>3115</v>
      </c>
      <c r="F232" s="273" t="s">
        <v>21</v>
      </c>
      <c r="G232" s="139"/>
      <c r="H232" s="139"/>
      <c r="I232" s="139"/>
      <c r="J232" s="139"/>
      <c r="K232" s="139"/>
      <c r="L232" s="139"/>
      <c r="M232" s="139"/>
      <c r="N232" s="139"/>
      <c r="O232" s="139"/>
      <c r="P232" s="139"/>
      <c r="Q232" s="139"/>
      <c r="R232" s="139"/>
      <c r="S232" s="139"/>
      <c r="T232" s="139"/>
      <c r="U232" s="139"/>
      <c r="V232" s="139"/>
      <c r="W232" s="139"/>
      <c r="X232" s="139"/>
      <c r="Y232" s="139"/>
      <c r="Z232" s="139"/>
    </row>
    <row r="233" spans="1:26" ht="201.6">
      <c r="A233" s="273">
        <v>232</v>
      </c>
      <c r="B233" s="270" t="s">
        <v>3116</v>
      </c>
      <c r="C233" s="396">
        <v>42893</v>
      </c>
      <c r="D233" s="273" t="s">
        <v>21</v>
      </c>
      <c r="E233" s="273" t="s">
        <v>3117</v>
      </c>
      <c r="F233" s="273" t="s">
        <v>21</v>
      </c>
      <c r="G233" s="139"/>
      <c r="H233" s="139"/>
      <c r="I233" s="139"/>
      <c r="J233" s="139"/>
      <c r="K233" s="139"/>
      <c r="L233" s="139"/>
      <c r="M233" s="139"/>
      <c r="N233" s="139"/>
      <c r="O233" s="139"/>
      <c r="P233" s="139"/>
      <c r="Q233" s="139"/>
      <c r="R233" s="139"/>
      <c r="S233" s="139"/>
      <c r="T233" s="139"/>
      <c r="U233" s="139"/>
      <c r="V233" s="139"/>
      <c r="W233" s="139"/>
      <c r="X233" s="139"/>
      <c r="Y233" s="139"/>
      <c r="Z233" s="139"/>
    </row>
    <row r="234" spans="1:26" ht="73.8" customHeight="1">
      <c r="A234" s="273">
        <v>233</v>
      </c>
      <c r="B234" s="270" t="s">
        <v>3118</v>
      </c>
      <c r="C234" s="396">
        <v>42919</v>
      </c>
      <c r="D234" s="273" t="s">
        <v>21</v>
      </c>
      <c r="E234" s="273" t="s">
        <v>3119</v>
      </c>
      <c r="F234" s="273" t="s">
        <v>3120</v>
      </c>
      <c r="G234" s="139"/>
      <c r="H234" s="139"/>
      <c r="I234" s="139"/>
      <c r="J234" s="139"/>
      <c r="K234" s="139"/>
      <c r="L234" s="139"/>
      <c r="M234" s="139"/>
      <c r="N234" s="139"/>
      <c r="O234" s="139"/>
      <c r="P234" s="139"/>
      <c r="Q234" s="139"/>
      <c r="R234" s="139"/>
      <c r="S234" s="139"/>
      <c r="T234" s="139"/>
      <c r="U234" s="139"/>
      <c r="V234" s="139"/>
      <c r="W234" s="139"/>
      <c r="X234" s="139"/>
      <c r="Y234" s="139"/>
      <c r="Z234" s="139"/>
    </row>
    <row r="235" spans="1:26" ht="33.75" customHeight="1">
      <c r="A235" s="273">
        <v>234</v>
      </c>
      <c r="B235" s="270" t="s">
        <v>3121</v>
      </c>
      <c r="C235" s="396">
        <v>42951</v>
      </c>
      <c r="D235" s="273" t="s">
        <v>21</v>
      </c>
      <c r="E235" s="273" t="s">
        <v>3122</v>
      </c>
      <c r="F235" s="273" t="s">
        <v>3123</v>
      </c>
      <c r="G235" s="139"/>
      <c r="H235" s="139"/>
      <c r="I235" s="139"/>
      <c r="J235" s="139"/>
      <c r="K235" s="139"/>
      <c r="L235" s="139"/>
      <c r="M235" s="139"/>
      <c r="N235" s="139"/>
      <c r="O235" s="139"/>
      <c r="P235" s="139"/>
      <c r="Q235" s="139"/>
      <c r="R235" s="139"/>
      <c r="S235" s="139"/>
      <c r="T235" s="139"/>
      <c r="U235" s="139"/>
      <c r="V235" s="139"/>
      <c r="W235" s="139"/>
      <c r="X235" s="139"/>
      <c r="Y235" s="139"/>
      <c r="Z235" s="139"/>
    </row>
    <row r="236" spans="1:26" ht="33.75" customHeight="1">
      <c r="A236" s="273">
        <v>235</v>
      </c>
      <c r="B236" s="270" t="s">
        <v>3124</v>
      </c>
      <c r="C236" s="396">
        <v>42951</v>
      </c>
      <c r="D236" s="273" t="s">
        <v>21</v>
      </c>
      <c r="E236" s="273" t="s">
        <v>3125</v>
      </c>
      <c r="F236" s="273" t="s">
        <v>3123</v>
      </c>
      <c r="G236" s="139"/>
      <c r="H236" s="139"/>
      <c r="I236" s="139"/>
      <c r="J236" s="139"/>
      <c r="K236" s="139"/>
      <c r="L236" s="139"/>
      <c r="M236" s="139"/>
      <c r="N236" s="139"/>
      <c r="O236" s="139"/>
      <c r="P236" s="139"/>
      <c r="Q236" s="139"/>
      <c r="R236" s="139"/>
      <c r="S236" s="139"/>
      <c r="T236" s="139"/>
      <c r="U236" s="139"/>
      <c r="V236" s="139"/>
      <c r="W236" s="139"/>
      <c r="X236" s="139"/>
      <c r="Y236" s="139"/>
      <c r="Z236" s="139"/>
    </row>
    <row r="237" spans="1:26" ht="33.75" customHeight="1">
      <c r="A237" s="273">
        <v>236</v>
      </c>
      <c r="B237" s="270" t="s">
        <v>3126</v>
      </c>
      <c r="C237" s="396">
        <v>42951</v>
      </c>
      <c r="D237" s="273" t="s">
        <v>21</v>
      </c>
      <c r="E237" s="273" t="s">
        <v>3127</v>
      </c>
      <c r="F237" s="273" t="s">
        <v>3123</v>
      </c>
      <c r="G237" s="139"/>
      <c r="H237" s="139"/>
      <c r="I237" s="139"/>
      <c r="J237" s="139"/>
      <c r="K237" s="139"/>
      <c r="L237" s="139"/>
      <c r="M237" s="139"/>
      <c r="N237" s="139"/>
      <c r="O237" s="139"/>
      <c r="P237" s="139"/>
      <c r="Q237" s="139"/>
      <c r="R237" s="139"/>
      <c r="S237" s="139"/>
      <c r="T237" s="139"/>
      <c r="U237" s="139"/>
      <c r="V237" s="139"/>
      <c r="W237" s="139"/>
      <c r="X237" s="139"/>
      <c r="Y237" s="139"/>
      <c r="Z237" s="139"/>
    </row>
    <row r="238" spans="1:26" ht="33.75" customHeight="1">
      <c r="A238" s="273">
        <v>237</v>
      </c>
      <c r="B238" s="270" t="s">
        <v>3128</v>
      </c>
      <c r="C238" s="396">
        <v>42951</v>
      </c>
      <c r="D238" s="273" t="s">
        <v>21</v>
      </c>
      <c r="E238" s="273" t="s">
        <v>3129</v>
      </c>
      <c r="F238" s="273" t="s">
        <v>3123</v>
      </c>
      <c r="G238" s="139"/>
      <c r="H238" s="139"/>
      <c r="I238" s="139"/>
      <c r="J238" s="139"/>
      <c r="K238" s="139"/>
      <c r="L238" s="139"/>
      <c r="M238" s="139"/>
      <c r="N238" s="139"/>
      <c r="O238" s="139"/>
      <c r="P238" s="139"/>
      <c r="Q238" s="139"/>
      <c r="R238" s="139"/>
      <c r="S238" s="139"/>
      <c r="T238" s="139"/>
      <c r="U238" s="139"/>
      <c r="V238" s="139"/>
      <c r="W238" s="139"/>
      <c r="X238" s="139"/>
      <c r="Y238" s="139"/>
      <c r="Z238" s="139"/>
    </row>
    <row r="239" spans="1:26" ht="33.75" customHeight="1">
      <c r="A239" s="273">
        <v>238</v>
      </c>
      <c r="B239" s="270" t="s">
        <v>3130</v>
      </c>
      <c r="C239" s="396">
        <v>42951</v>
      </c>
      <c r="D239" s="273" t="s">
        <v>21</v>
      </c>
      <c r="E239" s="273" t="s">
        <v>3131</v>
      </c>
      <c r="F239" s="273" t="s">
        <v>3123</v>
      </c>
      <c r="G239" s="139"/>
      <c r="H239" s="139"/>
      <c r="I239" s="139"/>
      <c r="J239" s="139"/>
      <c r="K239" s="139"/>
      <c r="L239" s="139"/>
      <c r="M239" s="139"/>
      <c r="N239" s="139"/>
      <c r="O239" s="139"/>
      <c r="P239" s="139"/>
      <c r="Q239" s="139"/>
      <c r="R239" s="139"/>
      <c r="S239" s="139"/>
      <c r="T239" s="139"/>
      <c r="U239" s="139"/>
      <c r="V239" s="139"/>
      <c r="W239" s="139"/>
      <c r="X239" s="139"/>
      <c r="Y239" s="139"/>
      <c r="Z239" s="139"/>
    </row>
    <row r="240" spans="1:26" ht="33.75" customHeight="1">
      <c r="A240" s="273">
        <v>239</v>
      </c>
      <c r="B240" s="270" t="s">
        <v>3132</v>
      </c>
      <c r="C240" s="396">
        <v>42969</v>
      </c>
      <c r="D240" s="273" t="s">
        <v>21</v>
      </c>
      <c r="E240" s="273" t="s">
        <v>3133</v>
      </c>
      <c r="F240" s="273" t="s">
        <v>21</v>
      </c>
      <c r="G240" s="139"/>
      <c r="H240" s="139"/>
      <c r="I240" s="139"/>
      <c r="J240" s="139"/>
      <c r="K240" s="139"/>
      <c r="L240" s="139"/>
      <c r="M240" s="139"/>
      <c r="N240" s="139"/>
      <c r="O240" s="139"/>
      <c r="P240" s="139"/>
      <c r="Q240" s="139"/>
      <c r="R240" s="139"/>
      <c r="S240" s="139"/>
      <c r="T240" s="139"/>
      <c r="U240" s="139"/>
      <c r="V240" s="139"/>
      <c r="W240" s="139"/>
      <c r="X240" s="139"/>
      <c r="Y240" s="139"/>
      <c r="Z240" s="139"/>
    </row>
    <row r="241" spans="1:26" ht="33.75" customHeight="1">
      <c r="A241" s="273">
        <v>240</v>
      </c>
      <c r="B241" s="270" t="s">
        <v>3134</v>
      </c>
      <c r="C241" s="396">
        <v>42993</v>
      </c>
      <c r="D241" s="273" t="s">
        <v>21</v>
      </c>
      <c r="E241" s="273" t="s">
        <v>3135</v>
      </c>
      <c r="F241" s="273" t="s">
        <v>21</v>
      </c>
      <c r="G241" s="139"/>
      <c r="H241" s="139"/>
      <c r="I241" s="139"/>
      <c r="J241" s="139"/>
      <c r="K241" s="139"/>
      <c r="L241" s="139"/>
      <c r="M241" s="139"/>
      <c r="N241" s="139"/>
      <c r="O241" s="139"/>
      <c r="P241" s="139"/>
      <c r="Q241" s="139"/>
      <c r="R241" s="139"/>
      <c r="S241" s="139"/>
      <c r="T241" s="139"/>
      <c r="U241" s="139"/>
      <c r="V241" s="139"/>
      <c r="W241" s="139"/>
      <c r="X241" s="139"/>
      <c r="Y241" s="139"/>
      <c r="Z241" s="139"/>
    </row>
    <row r="242" spans="1:26" ht="33.75" customHeight="1">
      <c r="A242" s="273">
        <v>241</v>
      </c>
      <c r="B242" s="270" t="s">
        <v>3136</v>
      </c>
      <c r="C242" s="396">
        <v>43007</v>
      </c>
      <c r="D242" s="273" t="s">
        <v>21</v>
      </c>
      <c r="E242" s="273" t="s">
        <v>3137</v>
      </c>
      <c r="F242" s="273" t="s">
        <v>21</v>
      </c>
      <c r="G242" s="139"/>
      <c r="H242" s="139"/>
      <c r="I242" s="139"/>
      <c r="J242" s="139"/>
      <c r="K242" s="139"/>
      <c r="L242" s="139"/>
      <c r="M242" s="139"/>
      <c r="N242" s="139"/>
      <c r="O242" s="139"/>
      <c r="P242" s="139"/>
      <c r="Q242" s="139"/>
      <c r="R242" s="139"/>
      <c r="S242" s="139"/>
      <c r="T242" s="139"/>
      <c r="U242" s="139"/>
      <c r="V242" s="139"/>
      <c r="W242" s="139"/>
      <c r="X242" s="139"/>
      <c r="Y242" s="139"/>
      <c r="Z242" s="139"/>
    </row>
    <row r="243" spans="1:26" ht="33.75" customHeight="1">
      <c r="A243" s="273">
        <v>242</v>
      </c>
      <c r="B243" s="270" t="s">
        <v>3138</v>
      </c>
      <c r="C243" s="396">
        <v>43041</v>
      </c>
      <c r="D243" s="273" t="s">
        <v>21</v>
      </c>
      <c r="E243" s="273" t="s">
        <v>3139</v>
      </c>
      <c r="F243" s="273" t="s">
        <v>3006</v>
      </c>
      <c r="G243" s="139"/>
      <c r="H243" s="139"/>
      <c r="I243" s="139"/>
      <c r="J243" s="139"/>
      <c r="K243" s="139"/>
      <c r="L243" s="139"/>
      <c r="M243" s="139"/>
      <c r="N243" s="139"/>
      <c r="O243" s="139"/>
      <c r="P243" s="139"/>
      <c r="Q243" s="139"/>
      <c r="R243" s="139"/>
      <c r="S243" s="139"/>
      <c r="T243" s="139"/>
      <c r="U243" s="139"/>
      <c r="V243" s="139"/>
      <c r="W243" s="139"/>
      <c r="X243" s="139"/>
      <c r="Y243" s="139"/>
      <c r="Z243" s="139"/>
    </row>
    <row r="244" spans="1:26" ht="33.75" customHeight="1">
      <c r="A244" s="273">
        <v>243</v>
      </c>
      <c r="B244" s="270" t="s">
        <v>3140</v>
      </c>
      <c r="C244" s="396">
        <v>43104</v>
      </c>
      <c r="D244" s="273" t="s">
        <v>21</v>
      </c>
      <c r="E244" s="273" t="s">
        <v>3141</v>
      </c>
      <c r="F244" s="273" t="s">
        <v>21</v>
      </c>
      <c r="G244" s="139"/>
      <c r="H244" s="139"/>
      <c r="I244" s="139"/>
      <c r="J244" s="139"/>
      <c r="K244" s="139"/>
      <c r="L244" s="139"/>
      <c r="M244" s="139"/>
      <c r="N244" s="139"/>
      <c r="O244" s="139"/>
      <c r="P244" s="139"/>
      <c r="Q244" s="139"/>
      <c r="R244" s="139"/>
      <c r="S244" s="139"/>
      <c r="T244" s="139"/>
      <c r="U244" s="139"/>
      <c r="V244" s="139"/>
      <c r="W244" s="139"/>
      <c r="X244" s="139"/>
      <c r="Y244" s="139"/>
      <c r="Z244" s="139"/>
    </row>
    <row r="245" spans="1:26" ht="33.75" customHeight="1">
      <c r="A245" s="273">
        <v>244</v>
      </c>
      <c r="B245" s="270" t="s">
        <v>3142</v>
      </c>
      <c r="C245" s="396">
        <v>43116</v>
      </c>
      <c r="D245" s="273" t="s">
        <v>21</v>
      </c>
      <c r="E245" s="273" t="s">
        <v>3143</v>
      </c>
      <c r="F245" s="273" t="s">
        <v>21</v>
      </c>
      <c r="G245" s="139"/>
      <c r="H245" s="139"/>
      <c r="I245" s="139"/>
      <c r="J245" s="139"/>
      <c r="K245" s="139"/>
      <c r="L245" s="139"/>
      <c r="M245" s="139"/>
      <c r="N245" s="139"/>
      <c r="O245" s="139"/>
      <c r="P245" s="139"/>
      <c r="Q245" s="139"/>
      <c r="R245" s="139"/>
      <c r="S245" s="139"/>
      <c r="T245" s="139"/>
      <c r="U245" s="139"/>
      <c r="V245" s="139"/>
      <c r="W245" s="139"/>
      <c r="X245" s="139"/>
      <c r="Y245" s="139"/>
      <c r="Z245" s="139"/>
    </row>
    <row r="246" spans="1:26" ht="33.75" customHeight="1">
      <c r="A246" s="273">
        <v>245</v>
      </c>
      <c r="B246" s="270" t="s">
        <v>3144</v>
      </c>
      <c r="C246" s="396">
        <v>43117</v>
      </c>
      <c r="D246" s="273" t="s">
        <v>21</v>
      </c>
      <c r="E246" s="273" t="s">
        <v>3145</v>
      </c>
      <c r="F246" s="273" t="s">
        <v>3069</v>
      </c>
      <c r="G246" s="139"/>
      <c r="H246" s="139"/>
      <c r="I246" s="139"/>
      <c r="J246" s="139"/>
      <c r="K246" s="139"/>
      <c r="L246" s="139"/>
      <c r="M246" s="139"/>
      <c r="N246" s="139"/>
      <c r="O246" s="139"/>
      <c r="P246" s="139"/>
      <c r="Q246" s="139"/>
      <c r="R246" s="139"/>
      <c r="S246" s="139"/>
      <c r="T246" s="139"/>
      <c r="U246" s="139"/>
      <c r="V246" s="139"/>
      <c r="W246" s="139"/>
      <c r="X246" s="139"/>
      <c r="Y246" s="139"/>
      <c r="Z246" s="139"/>
    </row>
    <row r="247" spans="1:26" ht="33.75" customHeight="1">
      <c r="A247" s="273">
        <v>246</v>
      </c>
      <c r="B247" s="270" t="s">
        <v>3146</v>
      </c>
      <c r="C247" s="396">
        <v>43180</v>
      </c>
      <c r="D247" s="273" t="s">
        <v>21</v>
      </c>
      <c r="E247" s="273" t="s">
        <v>3146</v>
      </c>
      <c r="F247" s="273" t="s">
        <v>21</v>
      </c>
      <c r="G247" s="139"/>
      <c r="H247" s="139"/>
      <c r="I247" s="139"/>
      <c r="J247" s="139"/>
      <c r="K247" s="139"/>
      <c r="L247" s="139"/>
      <c r="M247" s="139"/>
      <c r="N247" s="139"/>
      <c r="O247" s="139"/>
      <c r="P247" s="139"/>
      <c r="Q247" s="139"/>
      <c r="R247" s="139"/>
      <c r="S247" s="139"/>
      <c r="T247" s="139"/>
      <c r="U247" s="139"/>
      <c r="V247" s="139"/>
      <c r="W247" s="139"/>
      <c r="X247" s="139"/>
      <c r="Y247" s="139"/>
      <c r="Z247" s="139"/>
    </row>
    <row r="248" spans="1:26" ht="33.75" customHeight="1">
      <c r="A248" s="273">
        <v>247</v>
      </c>
      <c r="B248" s="270" t="s">
        <v>3147</v>
      </c>
      <c r="C248" s="396">
        <v>43182</v>
      </c>
      <c r="D248" s="273" t="s">
        <v>21</v>
      </c>
      <c r="E248" s="273" t="s">
        <v>3148</v>
      </c>
      <c r="F248" s="273" t="s">
        <v>21</v>
      </c>
      <c r="G248" s="139"/>
      <c r="H248" s="139"/>
      <c r="I248" s="139"/>
      <c r="J248" s="139"/>
      <c r="K248" s="139"/>
      <c r="L248" s="139"/>
      <c r="M248" s="139"/>
      <c r="N248" s="139"/>
      <c r="O248" s="139"/>
      <c r="P248" s="139"/>
      <c r="Q248" s="139"/>
      <c r="R248" s="139"/>
      <c r="S248" s="139"/>
      <c r="T248" s="139"/>
      <c r="U248" s="139"/>
      <c r="V248" s="139"/>
      <c r="W248" s="139"/>
      <c r="X248" s="139"/>
      <c r="Y248" s="139"/>
      <c r="Z248" s="139"/>
    </row>
    <row r="249" spans="1:26" ht="33.75" customHeight="1">
      <c r="A249" s="273">
        <v>248</v>
      </c>
      <c r="B249" s="270" t="s">
        <v>3149</v>
      </c>
      <c r="C249" s="396">
        <v>43182</v>
      </c>
      <c r="D249" s="273" t="s">
        <v>21</v>
      </c>
      <c r="E249" s="273" t="s">
        <v>3150</v>
      </c>
      <c r="F249" s="273" t="s">
        <v>21</v>
      </c>
      <c r="G249" s="139"/>
      <c r="H249" s="139"/>
      <c r="I249" s="139"/>
      <c r="J249" s="139"/>
      <c r="K249" s="139"/>
      <c r="L249" s="139"/>
      <c r="M249" s="139"/>
      <c r="N249" s="139"/>
      <c r="O249" s="139"/>
      <c r="P249" s="139"/>
      <c r="Q249" s="139"/>
      <c r="R249" s="139"/>
      <c r="S249" s="139"/>
      <c r="T249" s="139"/>
      <c r="U249" s="139"/>
      <c r="V249" s="139"/>
      <c r="W249" s="139"/>
      <c r="X249" s="139"/>
      <c r="Y249" s="139"/>
      <c r="Z249" s="139"/>
    </row>
    <row r="250" spans="1:26" ht="33.75" customHeight="1">
      <c r="A250" s="273">
        <v>249</v>
      </c>
      <c r="B250" s="270" t="s">
        <v>3151</v>
      </c>
      <c r="C250" s="396">
        <v>43182</v>
      </c>
      <c r="D250" s="273" t="s">
        <v>21</v>
      </c>
      <c r="E250" s="273" t="s">
        <v>3152</v>
      </c>
      <c r="F250" s="273" t="s">
        <v>21</v>
      </c>
      <c r="G250" s="139"/>
      <c r="H250" s="139"/>
      <c r="I250" s="139"/>
      <c r="J250" s="139"/>
      <c r="K250" s="139"/>
      <c r="L250" s="139"/>
      <c r="M250" s="139"/>
      <c r="N250" s="139"/>
      <c r="O250" s="139"/>
      <c r="P250" s="139"/>
      <c r="Q250" s="139"/>
      <c r="R250" s="139"/>
      <c r="S250" s="139"/>
      <c r="T250" s="139"/>
      <c r="U250" s="139"/>
      <c r="V250" s="139"/>
      <c r="W250" s="139"/>
      <c r="X250" s="139"/>
      <c r="Y250" s="139"/>
      <c r="Z250" s="139"/>
    </row>
    <row r="251" spans="1:26" ht="33.75" customHeight="1">
      <c r="A251" s="273">
        <v>250</v>
      </c>
      <c r="B251" s="270" t="s">
        <v>3153</v>
      </c>
      <c r="C251" s="396">
        <v>43222</v>
      </c>
      <c r="D251" s="273" t="s">
        <v>21</v>
      </c>
      <c r="E251" s="273" t="s">
        <v>3154</v>
      </c>
      <c r="F251" s="273" t="s">
        <v>21</v>
      </c>
      <c r="G251" s="139"/>
      <c r="H251" s="139"/>
      <c r="I251" s="139"/>
      <c r="J251" s="139"/>
      <c r="K251" s="139"/>
      <c r="L251" s="139"/>
      <c r="M251" s="139"/>
      <c r="N251" s="139"/>
      <c r="O251" s="139"/>
      <c r="P251" s="139"/>
      <c r="Q251" s="139"/>
      <c r="R251" s="139"/>
      <c r="S251" s="139"/>
      <c r="T251" s="139"/>
      <c r="U251" s="139"/>
      <c r="V251" s="139"/>
      <c r="W251" s="139"/>
      <c r="X251" s="139"/>
      <c r="Y251" s="139"/>
      <c r="Z251" s="139"/>
    </row>
    <row r="252" spans="1:26" ht="33.75" customHeight="1">
      <c r="A252" s="273">
        <v>251</v>
      </c>
      <c r="B252" s="270" t="s">
        <v>3155</v>
      </c>
      <c r="C252" s="396">
        <v>43224</v>
      </c>
      <c r="D252" s="273" t="s">
        <v>21</v>
      </c>
      <c r="E252" s="273" t="s">
        <v>3156</v>
      </c>
      <c r="F252" s="273" t="s">
        <v>21</v>
      </c>
      <c r="G252" s="139"/>
      <c r="H252" s="139"/>
      <c r="I252" s="139"/>
      <c r="J252" s="139"/>
      <c r="K252" s="139"/>
      <c r="L252" s="139"/>
      <c r="M252" s="139"/>
      <c r="N252" s="139"/>
      <c r="O252" s="139"/>
      <c r="P252" s="139"/>
      <c r="Q252" s="139"/>
      <c r="R252" s="139"/>
      <c r="S252" s="139"/>
      <c r="T252" s="139"/>
      <c r="U252" s="139"/>
      <c r="V252" s="139"/>
      <c r="W252" s="139"/>
      <c r="X252" s="139"/>
      <c r="Y252" s="139"/>
      <c r="Z252" s="139"/>
    </row>
    <row r="253" spans="1:26" ht="33.75" customHeight="1">
      <c r="A253" s="273">
        <v>252</v>
      </c>
      <c r="B253" s="270" t="s">
        <v>3157</v>
      </c>
      <c r="C253" s="396">
        <v>43236</v>
      </c>
      <c r="D253" s="273" t="s">
        <v>21</v>
      </c>
      <c r="E253" s="273" t="s">
        <v>3158</v>
      </c>
      <c r="F253" s="273" t="s">
        <v>21</v>
      </c>
      <c r="G253" s="139"/>
      <c r="H253" s="139"/>
      <c r="I253" s="139"/>
      <c r="J253" s="139"/>
      <c r="K253" s="139"/>
      <c r="L253" s="139"/>
      <c r="M253" s="139"/>
      <c r="N253" s="139"/>
      <c r="O253" s="139"/>
      <c r="P253" s="139"/>
      <c r="Q253" s="139"/>
      <c r="R253" s="139"/>
      <c r="S253" s="139"/>
      <c r="T253" s="139"/>
      <c r="U253" s="139"/>
      <c r="V253" s="139"/>
      <c r="W253" s="139"/>
      <c r="X253" s="139"/>
      <c r="Y253" s="139"/>
      <c r="Z253" s="139"/>
    </row>
    <row r="254" spans="1:26" ht="33.75" customHeight="1">
      <c r="A254" s="273">
        <v>253</v>
      </c>
      <c r="B254" s="270" t="s">
        <v>3159</v>
      </c>
      <c r="C254" s="396">
        <v>43287</v>
      </c>
      <c r="D254" s="273" t="s">
        <v>21</v>
      </c>
      <c r="E254" s="273" t="s">
        <v>3160</v>
      </c>
      <c r="F254" s="273" t="s">
        <v>21</v>
      </c>
      <c r="G254" s="139"/>
      <c r="H254" s="139"/>
      <c r="I254" s="139"/>
      <c r="J254" s="139"/>
      <c r="K254" s="139"/>
      <c r="L254" s="139"/>
      <c r="M254" s="139"/>
      <c r="N254" s="139"/>
      <c r="O254" s="139"/>
      <c r="P254" s="139"/>
      <c r="Q254" s="139"/>
      <c r="R254" s="139"/>
      <c r="S254" s="139"/>
      <c r="T254" s="139"/>
      <c r="U254" s="139"/>
      <c r="V254" s="139"/>
      <c r="W254" s="139"/>
      <c r="X254" s="139"/>
      <c r="Y254" s="139"/>
      <c r="Z254" s="139"/>
    </row>
    <row r="255" spans="1:26" ht="33.75" customHeight="1">
      <c r="A255" s="273">
        <v>254</v>
      </c>
      <c r="B255" s="270" t="s">
        <v>3161</v>
      </c>
      <c r="C255" s="396">
        <v>43290</v>
      </c>
      <c r="D255" s="273" t="s">
        <v>21</v>
      </c>
      <c r="E255" s="273" t="s">
        <v>3162</v>
      </c>
      <c r="F255" s="273" t="s">
        <v>21</v>
      </c>
      <c r="G255" s="139"/>
      <c r="H255" s="139"/>
      <c r="I255" s="139"/>
      <c r="J255" s="139"/>
      <c r="K255" s="139"/>
      <c r="L255" s="139"/>
      <c r="M255" s="139"/>
      <c r="N255" s="139"/>
      <c r="O255" s="139"/>
      <c r="P255" s="139"/>
      <c r="Q255" s="139"/>
      <c r="R255" s="139"/>
      <c r="S255" s="139"/>
      <c r="T255" s="139"/>
      <c r="U255" s="139"/>
      <c r="V255" s="139"/>
      <c r="W255" s="139"/>
      <c r="X255" s="139"/>
      <c r="Y255" s="139"/>
      <c r="Z255" s="139"/>
    </row>
    <row r="256" spans="1:26" ht="33.75" customHeight="1">
      <c r="A256" s="273">
        <v>255</v>
      </c>
      <c r="B256" s="270" t="s">
        <v>3163</v>
      </c>
      <c r="C256" s="396">
        <v>43290</v>
      </c>
      <c r="D256" s="273" t="s">
        <v>21</v>
      </c>
      <c r="E256" s="273" t="s">
        <v>3162</v>
      </c>
      <c r="F256" s="273" t="s">
        <v>21</v>
      </c>
      <c r="G256" s="139"/>
      <c r="H256" s="139"/>
      <c r="I256" s="139"/>
      <c r="J256" s="139"/>
      <c r="K256" s="139"/>
      <c r="L256" s="139"/>
      <c r="M256" s="139"/>
      <c r="N256" s="139"/>
      <c r="O256" s="139"/>
      <c r="P256" s="139"/>
      <c r="Q256" s="139"/>
      <c r="R256" s="139"/>
      <c r="S256" s="139"/>
      <c r="T256" s="139"/>
      <c r="U256" s="139"/>
      <c r="V256" s="139"/>
      <c r="W256" s="139"/>
      <c r="X256" s="139"/>
      <c r="Y256" s="139"/>
      <c r="Z256" s="139"/>
    </row>
    <row r="257" spans="1:26" ht="33.75" customHeight="1">
      <c r="A257" s="273">
        <v>256</v>
      </c>
      <c r="B257" s="270" t="s">
        <v>3164</v>
      </c>
      <c r="C257" s="396">
        <v>43290</v>
      </c>
      <c r="D257" s="273" t="s">
        <v>21</v>
      </c>
      <c r="E257" s="273" t="s">
        <v>3165</v>
      </c>
      <c r="F257" s="273" t="s">
        <v>21</v>
      </c>
      <c r="G257" s="139"/>
      <c r="H257" s="139"/>
      <c r="I257" s="139"/>
      <c r="J257" s="139"/>
      <c r="K257" s="139"/>
      <c r="L257" s="139"/>
      <c r="M257" s="139"/>
      <c r="N257" s="139"/>
      <c r="O257" s="139"/>
      <c r="P257" s="139"/>
      <c r="Q257" s="139"/>
      <c r="R257" s="139"/>
      <c r="S257" s="139"/>
      <c r="T257" s="139"/>
      <c r="U257" s="139"/>
      <c r="V257" s="139"/>
      <c r="W257" s="139"/>
      <c r="X257" s="139"/>
      <c r="Y257" s="139"/>
      <c r="Z257" s="139"/>
    </row>
    <row r="258" spans="1:26" ht="33.75" customHeight="1">
      <c r="A258" s="273">
        <v>257</v>
      </c>
      <c r="B258" s="270" t="s">
        <v>3166</v>
      </c>
      <c r="C258" s="396">
        <v>43290</v>
      </c>
      <c r="D258" s="273" t="s">
        <v>21</v>
      </c>
      <c r="E258" s="273" t="s">
        <v>3165</v>
      </c>
      <c r="F258" s="273" t="s">
        <v>21</v>
      </c>
      <c r="G258" s="139"/>
      <c r="H258" s="139"/>
      <c r="I258" s="139"/>
      <c r="J258" s="139"/>
      <c r="K258" s="139"/>
      <c r="L258" s="139"/>
      <c r="M258" s="139"/>
      <c r="N258" s="139"/>
      <c r="O258" s="139"/>
      <c r="P258" s="139"/>
      <c r="Q258" s="139"/>
      <c r="R258" s="139"/>
      <c r="S258" s="139"/>
      <c r="T258" s="139"/>
      <c r="U258" s="139"/>
      <c r="V258" s="139"/>
      <c r="W258" s="139"/>
      <c r="X258" s="139"/>
      <c r="Y258" s="139"/>
      <c r="Z258" s="139"/>
    </row>
    <row r="259" spans="1:26" ht="33.75" customHeight="1">
      <c r="A259" s="273">
        <v>258</v>
      </c>
      <c r="B259" s="270" t="s">
        <v>3167</v>
      </c>
      <c r="C259" s="396">
        <v>43308</v>
      </c>
      <c r="D259" s="273" t="s">
        <v>21</v>
      </c>
      <c r="E259" s="273" t="s">
        <v>3168</v>
      </c>
      <c r="F259" s="273" t="s">
        <v>1416</v>
      </c>
      <c r="G259" s="139"/>
      <c r="H259" s="139"/>
      <c r="I259" s="139"/>
      <c r="J259" s="139"/>
      <c r="K259" s="139"/>
      <c r="L259" s="139"/>
      <c r="M259" s="139"/>
      <c r="N259" s="139"/>
      <c r="O259" s="139"/>
      <c r="P259" s="139"/>
      <c r="Q259" s="139"/>
      <c r="R259" s="139"/>
      <c r="S259" s="139"/>
      <c r="T259" s="139"/>
      <c r="U259" s="139"/>
      <c r="V259" s="139"/>
      <c r="W259" s="139"/>
      <c r="X259" s="139"/>
      <c r="Y259" s="139"/>
      <c r="Z259" s="139"/>
    </row>
    <row r="260" spans="1:26" ht="46.8" customHeight="1">
      <c r="A260" s="273">
        <v>259</v>
      </c>
      <c r="B260" s="270" t="s">
        <v>3169</v>
      </c>
      <c r="C260" s="396">
        <v>43309</v>
      </c>
      <c r="D260" s="273" t="s">
        <v>21</v>
      </c>
      <c r="E260" s="273" t="s">
        <v>3170</v>
      </c>
      <c r="F260" s="273" t="s">
        <v>3171</v>
      </c>
      <c r="G260" s="139"/>
      <c r="H260" s="139"/>
      <c r="I260" s="139"/>
      <c r="J260" s="139"/>
      <c r="K260" s="139"/>
      <c r="L260" s="139"/>
      <c r="M260" s="139"/>
      <c r="N260" s="139"/>
      <c r="O260" s="139"/>
      <c r="P260" s="139"/>
      <c r="Q260" s="139"/>
      <c r="R260" s="139"/>
      <c r="S260" s="139"/>
      <c r="T260" s="139"/>
      <c r="U260" s="139"/>
      <c r="V260" s="139"/>
      <c r="W260" s="139"/>
      <c r="X260" s="139"/>
      <c r="Y260" s="139"/>
      <c r="Z260" s="139"/>
    </row>
    <row r="261" spans="1:26" ht="33.75" customHeight="1">
      <c r="A261" s="273">
        <v>260</v>
      </c>
      <c r="B261" s="270" t="s">
        <v>3172</v>
      </c>
      <c r="C261" s="396">
        <v>43319</v>
      </c>
      <c r="D261" s="273" t="s">
        <v>21</v>
      </c>
      <c r="E261" s="273" t="s">
        <v>3173</v>
      </c>
      <c r="F261" s="273" t="s">
        <v>21</v>
      </c>
      <c r="G261" s="139"/>
      <c r="H261" s="139"/>
      <c r="I261" s="139"/>
      <c r="J261" s="139"/>
      <c r="K261" s="139"/>
      <c r="L261" s="139"/>
      <c r="M261" s="139"/>
      <c r="N261" s="139"/>
      <c r="O261" s="139"/>
      <c r="P261" s="139"/>
      <c r="Q261" s="139"/>
      <c r="R261" s="139"/>
      <c r="S261" s="139"/>
      <c r="T261" s="139"/>
      <c r="U261" s="139"/>
      <c r="V261" s="139"/>
      <c r="W261" s="139"/>
      <c r="X261" s="139"/>
      <c r="Y261" s="139"/>
      <c r="Z261" s="139"/>
    </row>
    <row r="262" spans="1:26" ht="33.75" customHeight="1">
      <c r="A262" s="273">
        <v>261</v>
      </c>
      <c r="B262" s="270" t="s">
        <v>3174</v>
      </c>
      <c r="C262" s="396">
        <v>43321</v>
      </c>
      <c r="D262" s="273" t="s">
        <v>21</v>
      </c>
      <c r="E262" s="273" t="s">
        <v>3175</v>
      </c>
      <c r="F262" s="273" t="s">
        <v>21</v>
      </c>
      <c r="G262" s="139"/>
      <c r="H262" s="139"/>
      <c r="I262" s="139"/>
      <c r="J262" s="139"/>
      <c r="K262" s="139"/>
      <c r="L262" s="139"/>
      <c r="M262" s="139"/>
      <c r="N262" s="139"/>
      <c r="O262" s="139"/>
      <c r="P262" s="139"/>
      <c r="Q262" s="139"/>
      <c r="R262" s="139"/>
      <c r="S262" s="139"/>
      <c r="T262" s="139"/>
      <c r="U262" s="139"/>
      <c r="V262" s="139"/>
      <c r="W262" s="139"/>
      <c r="X262" s="139"/>
      <c r="Y262" s="139"/>
      <c r="Z262" s="139"/>
    </row>
    <row r="263" spans="1:26" ht="33.75" customHeight="1">
      <c r="A263" s="273">
        <v>262</v>
      </c>
      <c r="B263" s="270" t="s">
        <v>3176</v>
      </c>
      <c r="C263" s="396">
        <v>43321</v>
      </c>
      <c r="D263" s="273" t="s">
        <v>21</v>
      </c>
      <c r="E263" s="273" t="s">
        <v>3177</v>
      </c>
      <c r="F263" s="273" t="s">
        <v>21</v>
      </c>
      <c r="G263" s="139"/>
      <c r="H263" s="139"/>
      <c r="I263" s="139"/>
      <c r="J263" s="139"/>
      <c r="K263" s="139"/>
      <c r="L263" s="139"/>
      <c r="M263" s="139"/>
      <c r="N263" s="139"/>
      <c r="O263" s="139"/>
      <c r="P263" s="139"/>
      <c r="Q263" s="139"/>
      <c r="R263" s="139"/>
      <c r="S263" s="139"/>
      <c r="T263" s="139"/>
      <c r="U263" s="139"/>
      <c r="V263" s="139"/>
      <c r="W263" s="139"/>
      <c r="X263" s="139"/>
      <c r="Y263" s="139"/>
      <c r="Z263" s="139"/>
    </row>
    <row r="264" spans="1:26" ht="33.75" customHeight="1">
      <c r="A264" s="273">
        <v>263</v>
      </c>
      <c r="B264" s="270" t="s">
        <v>3178</v>
      </c>
      <c r="C264" s="396">
        <v>43322</v>
      </c>
      <c r="D264" s="273" t="s">
        <v>21</v>
      </c>
      <c r="E264" s="273" t="s">
        <v>3179</v>
      </c>
      <c r="F264" s="273" t="s">
        <v>21</v>
      </c>
      <c r="G264" s="139"/>
      <c r="H264" s="139"/>
      <c r="I264" s="139"/>
      <c r="J264" s="139"/>
      <c r="K264" s="139"/>
      <c r="L264" s="139"/>
      <c r="M264" s="139"/>
      <c r="N264" s="139"/>
      <c r="O264" s="139"/>
      <c r="P264" s="139"/>
      <c r="Q264" s="139"/>
      <c r="R264" s="139"/>
      <c r="S264" s="139"/>
      <c r="T264" s="139"/>
      <c r="U264" s="139"/>
      <c r="V264" s="139"/>
      <c r="W264" s="139"/>
      <c r="X264" s="139"/>
      <c r="Y264" s="139"/>
      <c r="Z264" s="139"/>
    </row>
    <row r="265" spans="1:26" ht="33.75" customHeight="1">
      <c r="A265" s="273">
        <v>264</v>
      </c>
      <c r="B265" s="270" t="s">
        <v>3180</v>
      </c>
      <c r="C265" s="396">
        <v>43336</v>
      </c>
      <c r="D265" s="273" t="s">
        <v>21</v>
      </c>
      <c r="E265" s="273" t="s">
        <v>3181</v>
      </c>
      <c r="F265" s="273" t="s">
        <v>21</v>
      </c>
      <c r="G265" s="139"/>
      <c r="H265" s="139"/>
      <c r="I265" s="139"/>
      <c r="J265" s="139"/>
      <c r="K265" s="139"/>
      <c r="L265" s="139"/>
      <c r="M265" s="139"/>
      <c r="N265" s="139"/>
      <c r="O265" s="139"/>
      <c r="P265" s="139"/>
      <c r="Q265" s="139"/>
      <c r="R265" s="139"/>
      <c r="S265" s="139"/>
      <c r="T265" s="139"/>
      <c r="U265" s="139"/>
      <c r="V265" s="139"/>
      <c r="W265" s="139"/>
      <c r="X265" s="139"/>
      <c r="Y265" s="139"/>
      <c r="Z265" s="139"/>
    </row>
    <row r="266" spans="1:26" ht="33.75" customHeight="1">
      <c r="A266" s="273">
        <v>265</v>
      </c>
      <c r="B266" s="270" t="s">
        <v>3182</v>
      </c>
      <c r="C266" s="396">
        <v>43336</v>
      </c>
      <c r="D266" s="273" t="s">
        <v>21</v>
      </c>
      <c r="E266" s="273" t="s">
        <v>3183</v>
      </c>
      <c r="F266" s="273" t="s">
        <v>21</v>
      </c>
      <c r="G266" s="139"/>
      <c r="H266" s="139"/>
      <c r="I266" s="139"/>
      <c r="J266" s="139"/>
      <c r="K266" s="139"/>
      <c r="L266" s="139"/>
      <c r="M266" s="139"/>
      <c r="N266" s="139"/>
      <c r="O266" s="139"/>
      <c r="P266" s="139"/>
      <c r="Q266" s="139"/>
      <c r="R266" s="139"/>
      <c r="S266" s="139"/>
      <c r="T266" s="139"/>
      <c r="U266" s="139"/>
      <c r="V266" s="139"/>
      <c r="W266" s="139"/>
      <c r="X266" s="139"/>
      <c r="Y266" s="139"/>
      <c r="Z266" s="139"/>
    </row>
    <row r="267" spans="1:26" ht="33.75" customHeight="1">
      <c r="A267" s="273">
        <v>266</v>
      </c>
      <c r="B267" s="270" t="s">
        <v>3184</v>
      </c>
      <c r="C267" s="396">
        <v>43346</v>
      </c>
      <c r="D267" s="273" t="s">
        <v>21</v>
      </c>
      <c r="E267" s="273" t="s">
        <v>3185</v>
      </c>
      <c r="F267" s="273" t="s">
        <v>21</v>
      </c>
      <c r="G267" s="139"/>
      <c r="H267" s="139"/>
      <c r="I267" s="139"/>
      <c r="J267" s="139"/>
      <c r="K267" s="139"/>
      <c r="L267" s="139"/>
      <c r="M267" s="139"/>
      <c r="N267" s="139"/>
      <c r="O267" s="139"/>
      <c r="P267" s="139"/>
      <c r="Q267" s="139"/>
      <c r="R267" s="139"/>
      <c r="S267" s="139"/>
      <c r="T267" s="139"/>
      <c r="U267" s="139"/>
      <c r="V267" s="139"/>
      <c r="W267" s="139"/>
      <c r="X267" s="139"/>
      <c r="Y267" s="139"/>
      <c r="Z267" s="139"/>
    </row>
    <row r="268" spans="1:26" ht="33.75" customHeight="1">
      <c r="A268" s="273">
        <v>267</v>
      </c>
      <c r="B268" s="270" t="s">
        <v>3186</v>
      </c>
      <c r="C268" s="396">
        <v>43354</v>
      </c>
      <c r="D268" s="273" t="s">
        <v>21</v>
      </c>
      <c r="E268" s="273" t="s">
        <v>3187</v>
      </c>
      <c r="F268" s="273" t="s">
        <v>21</v>
      </c>
      <c r="G268" s="139"/>
      <c r="H268" s="139"/>
      <c r="I268" s="139"/>
      <c r="J268" s="139"/>
      <c r="K268" s="139"/>
      <c r="L268" s="139"/>
      <c r="M268" s="139"/>
      <c r="N268" s="139"/>
      <c r="O268" s="139"/>
      <c r="P268" s="139"/>
      <c r="Q268" s="139"/>
      <c r="R268" s="139"/>
      <c r="S268" s="139"/>
      <c r="T268" s="139"/>
      <c r="U268" s="139"/>
      <c r="V268" s="139"/>
      <c r="W268" s="139"/>
      <c r="X268" s="139"/>
      <c r="Y268" s="139"/>
      <c r="Z268" s="139"/>
    </row>
    <row r="269" spans="1:26" ht="33.75" customHeight="1">
      <c r="A269" s="273">
        <v>268</v>
      </c>
      <c r="B269" s="270" t="s">
        <v>3188</v>
      </c>
      <c r="C269" s="396">
        <v>43354</v>
      </c>
      <c r="D269" s="273" t="s">
        <v>21</v>
      </c>
      <c r="E269" s="273" t="s">
        <v>3189</v>
      </c>
      <c r="F269" s="273" t="s">
        <v>21</v>
      </c>
      <c r="G269" s="139"/>
      <c r="H269" s="139"/>
      <c r="I269" s="139"/>
      <c r="J269" s="139"/>
      <c r="K269" s="139"/>
      <c r="L269" s="139"/>
      <c r="M269" s="139"/>
      <c r="N269" s="139"/>
      <c r="O269" s="139"/>
      <c r="P269" s="139"/>
      <c r="Q269" s="139"/>
      <c r="R269" s="139"/>
      <c r="S269" s="139"/>
      <c r="T269" s="139"/>
      <c r="U269" s="139"/>
      <c r="V269" s="139"/>
      <c r="W269" s="139"/>
      <c r="X269" s="139"/>
      <c r="Y269" s="139"/>
      <c r="Z269" s="139"/>
    </row>
    <row r="270" spans="1:26" ht="33.75" customHeight="1">
      <c r="A270" s="273">
        <v>269</v>
      </c>
      <c r="B270" s="270" t="s">
        <v>3190</v>
      </c>
      <c r="C270" s="396">
        <v>43355</v>
      </c>
      <c r="D270" s="273" t="s">
        <v>21</v>
      </c>
      <c r="E270" s="273" t="s">
        <v>3191</v>
      </c>
      <c r="F270" s="273" t="s">
        <v>21</v>
      </c>
      <c r="G270" s="139"/>
      <c r="H270" s="139"/>
      <c r="I270" s="139"/>
      <c r="J270" s="139"/>
      <c r="K270" s="139"/>
      <c r="L270" s="139"/>
      <c r="M270" s="139"/>
      <c r="N270" s="139"/>
      <c r="O270" s="139"/>
      <c r="P270" s="139"/>
      <c r="Q270" s="139"/>
      <c r="R270" s="139"/>
      <c r="S270" s="139"/>
      <c r="T270" s="139"/>
      <c r="U270" s="139"/>
      <c r="V270" s="139"/>
      <c r="W270" s="139"/>
      <c r="X270" s="139"/>
      <c r="Y270" s="139"/>
      <c r="Z270" s="139"/>
    </row>
    <row r="271" spans="1:26" ht="33.75" customHeight="1">
      <c r="A271" s="273">
        <v>270</v>
      </c>
      <c r="B271" s="270" t="s">
        <v>3192</v>
      </c>
      <c r="C271" s="396">
        <v>43355</v>
      </c>
      <c r="D271" s="273" t="s">
        <v>21</v>
      </c>
      <c r="E271" s="273" t="s">
        <v>3193</v>
      </c>
      <c r="F271" s="273" t="s">
        <v>21</v>
      </c>
      <c r="G271" s="139"/>
      <c r="H271" s="139"/>
      <c r="I271" s="139"/>
      <c r="J271" s="139"/>
      <c r="K271" s="139"/>
      <c r="L271" s="139"/>
      <c r="M271" s="139"/>
      <c r="N271" s="139"/>
      <c r="O271" s="139"/>
      <c r="P271" s="139"/>
      <c r="Q271" s="139"/>
      <c r="R271" s="139"/>
      <c r="S271" s="139"/>
      <c r="T271" s="139"/>
      <c r="U271" s="139"/>
      <c r="V271" s="139"/>
      <c r="W271" s="139"/>
      <c r="X271" s="139"/>
      <c r="Y271" s="139"/>
      <c r="Z271" s="139"/>
    </row>
    <row r="272" spans="1:26" ht="33.75" customHeight="1">
      <c r="A272" s="273">
        <v>271</v>
      </c>
      <c r="B272" s="270" t="s">
        <v>3194</v>
      </c>
      <c r="C272" s="396">
        <v>43355</v>
      </c>
      <c r="D272" s="273" t="s">
        <v>21</v>
      </c>
      <c r="E272" s="273" t="s">
        <v>3195</v>
      </c>
      <c r="F272" s="273" t="s">
        <v>21</v>
      </c>
      <c r="G272" s="139"/>
      <c r="H272" s="139"/>
      <c r="I272" s="139"/>
      <c r="J272" s="139"/>
      <c r="K272" s="139"/>
      <c r="L272" s="139"/>
      <c r="M272" s="139"/>
      <c r="N272" s="139"/>
      <c r="O272" s="139"/>
      <c r="P272" s="139"/>
      <c r="Q272" s="139"/>
      <c r="R272" s="139"/>
      <c r="S272" s="139"/>
      <c r="T272" s="139"/>
      <c r="U272" s="139"/>
      <c r="V272" s="139"/>
      <c r="W272" s="139"/>
      <c r="X272" s="139"/>
      <c r="Y272" s="139"/>
      <c r="Z272" s="139"/>
    </row>
    <row r="273" spans="1:26" ht="33.75" customHeight="1">
      <c r="A273" s="273">
        <v>272</v>
      </c>
      <c r="B273" s="270" t="s">
        <v>3196</v>
      </c>
      <c r="C273" s="396">
        <v>43355</v>
      </c>
      <c r="D273" s="273" t="s">
        <v>21</v>
      </c>
      <c r="E273" s="273" t="s">
        <v>3197</v>
      </c>
      <c r="F273" s="273" t="s">
        <v>21</v>
      </c>
      <c r="G273" s="139"/>
      <c r="H273" s="139"/>
      <c r="I273" s="139"/>
      <c r="J273" s="139"/>
      <c r="K273" s="139"/>
      <c r="L273" s="139"/>
      <c r="M273" s="139"/>
      <c r="N273" s="139"/>
      <c r="O273" s="139"/>
      <c r="P273" s="139"/>
      <c r="Q273" s="139"/>
      <c r="R273" s="139"/>
      <c r="S273" s="139"/>
      <c r="T273" s="139"/>
      <c r="U273" s="139"/>
      <c r="V273" s="139"/>
      <c r="W273" s="139"/>
      <c r="X273" s="139"/>
      <c r="Y273" s="139"/>
      <c r="Z273" s="139"/>
    </row>
    <row r="274" spans="1:26" ht="33.75" customHeight="1">
      <c r="A274" s="273">
        <v>273</v>
      </c>
      <c r="B274" s="270" t="str">
        <f>HYPERLINK("https://www.microsave.net/2018/12/05/key-note-speech-by-graham-a-n-wright-at-the-european-microfinance-week-2018/","Key note speech by Graham A.N. Wright at the European Microfinance Week 2018")</f>
        <v>Key note speech by Graham A.N. Wright at the European Microfinance Week 2018</v>
      </c>
      <c r="C274" s="396">
        <v>43419</v>
      </c>
      <c r="D274" s="273" t="s">
        <v>21</v>
      </c>
      <c r="E274" s="273" t="s">
        <v>3198</v>
      </c>
      <c r="F274" s="273" t="s">
        <v>1416</v>
      </c>
      <c r="G274" s="139"/>
      <c r="H274" s="139"/>
      <c r="I274" s="139"/>
      <c r="J274" s="139"/>
      <c r="K274" s="139"/>
      <c r="L274" s="139"/>
      <c r="M274" s="139"/>
      <c r="N274" s="139"/>
      <c r="O274" s="139"/>
      <c r="P274" s="139"/>
      <c r="Q274" s="139"/>
      <c r="R274" s="139"/>
      <c r="S274" s="139"/>
      <c r="T274" s="139"/>
      <c r="U274" s="139"/>
      <c r="V274" s="139"/>
      <c r="W274" s="139"/>
      <c r="X274" s="139"/>
      <c r="Y274" s="139"/>
      <c r="Z274" s="139"/>
    </row>
    <row r="275" spans="1:26" ht="42.75" customHeight="1">
      <c r="A275" s="273">
        <v>274</v>
      </c>
      <c r="B275" s="270" t="str">
        <f>HYPERLINK("https://www.microsave.net/2019/06/25/supporting-the-government-of-india-to-digitize-client/","Supporting the Government of India to digitize")</f>
        <v>Supporting the Government of India to digitize</v>
      </c>
      <c r="C275" s="396">
        <v>43641</v>
      </c>
      <c r="D275" s="273" t="s">
        <v>21</v>
      </c>
      <c r="E275" s="273" t="s">
        <v>3199</v>
      </c>
      <c r="F275" s="273" t="s">
        <v>21</v>
      </c>
      <c r="G275" s="139"/>
      <c r="H275" s="139"/>
      <c r="I275" s="139"/>
      <c r="J275" s="139"/>
      <c r="K275" s="139"/>
      <c r="L275" s="139"/>
      <c r="M275" s="139"/>
      <c r="N275" s="139"/>
      <c r="O275" s="139"/>
      <c r="P275" s="139"/>
      <c r="Q275" s="139"/>
      <c r="R275" s="139"/>
      <c r="S275" s="139"/>
      <c r="T275" s="139"/>
      <c r="U275" s="139"/>
      <c r="V275" s="139"/>
      <c r="W275" s="139"/>
      <c r="X275" s="139"/>
      <c r="Y275" s="139"/>
      <c r="Z275" s="139"/>
    </row>
    <row r="276" spans="1:26" ht="40.5" customHeight="1">
      <c r="A276" s="273">
        <v>275</v>
      </c>
      <c r="B276" s="270" t="str">
        <f>HYPERLINK("http://bit.ly/2XjkRQt","Research for evidence-based policymaking")</f>
        <v>Research for evidence-based policymaking</v>
      </c>
      <c r="C276" s="396">
        <v>43640</v>
      </c>
      <c r="D276" s="273" t="s">
        <v>21</v>
      </c>
      <c r="E276" s="273" t="s">
        <v>3200</v>
      </c>
      <c r="F276" s="273" t="s">
        <v>21</v>
      </c>
      <c r="G276" s="139"/>
      <c r="H276" s="139"/>
      <c r="I276" s="139"/>
      <c r="J276" s="139"/>
      <c r="K276" s="139"/>
      <c r="L276" s="139"/>
      <c r="M276" s="139"/>
      <c r="N276" s="139"/>
      <c r="O276" s="139"/>
      <c r="P276" s="139"/>
      <c r="Q276" s="139"/>
      <c r="R276" s="139"/>
      <c r="S276" s="139"/>
      <c r="T276" s="139"/>
      <c r="U276" s="139"/>
      <c r="V276" s="139"/>
      <c r="W276" s="139"/>
      <c r="X276" s="139"/>
      <c r="Y276" s="139"/>
      <c r="Z276" s="139"/>
    </row>
    <row r="277" spans="1:26" ht="33.75" customHeight="1">
      <c r="A277" s="273">
        <v>276</v>
      </c>
      <c r="B277" s="270" t="s">
        <v>3201</v>
      </c>
      <c r="C277" s="396">
        <v>43643</v>
      </c>
      <c r="D277" s="273" t="s">
        <v>21</v>
      </c>
      <c r="E277" s="273" t="s">
        <v>3202</v>
      </c>
      <c r="F277" s="273" t="s">
        <v>21</v>
      </c>
      <c r="G277" s="139"/>
      <c r="H277" s="139"/>
      <c r="I277" s="139"/>
      <c r="J277" s="139"/>
      <c r="K277" s="139"/>
      <c r="L277" s="139"/>
      <c r="M277" s="139"/>
      <c r="N277" s="139"/>
      <c r="O277" s="139"/>
      <c r="P277" s="139"/>
      <c r="Q277" s="139"/>
      <c r="R277" s="139"/>
      <c r="S277" s="139"/>
      <c r="T277" s="139"/>
      <c r="U277" s="139"/>
      <c r="V277" s="139"/>
      <c r="W277" s="139"/>
      <c r="X277" s="139"/>
      <c r="Y277" s="139"/>
      <c r="Z277" s="139"/>
    </row>
    <row r="278" spans="1:26" ht="33.75" customHeight="1">
      <c r="A278" s="273">
        <v>277</v>
      </c>
      <c r="B278" s="270" t="s">
        <v>3203</v>
      </c>
      <c r="C278" s="396">
        <v>43633</v>
      </c>
      <c r="D278" s="273" t="s">
        <v>21</v>
      </c>
      <c r="E278" s="273" t="s">
        <v>3204</v>
      </c>
      <c r="F278" s="273" t="s">
        <v>21</v>
      </c>
      <c r="G278" s="139"/>
      <c r="H278" s="139"/>
      <c r="I278" s="139"/>
      <c r="J278" s="139"/>
      <c r="K278" s="139"/>
      <c r="L278" s="139"/>
      <c r="M278" s="139"/>
      <c r="N278" s="139"/>
      <c r="O278" s="139"/>
      <c r="P278" s="139"/>
      <c r="Q278" s="139"/>
      <c r="R278" s="139"/>
      <c r="S278" s="139"/>
      <c r="T278" s="139"/>
      <c r="U278" s="139"/>
      <c r="V278" s="139"/>
      <c r="W278" s="139"/>
      <c r="X278" s="139"/>
      <c r="Y278" s="139"/>
      <c r="Z278" s="139"/>
    </row>
    <row r="279" spans="1:26" ht="33.75" customHeight="1">
      <c r="A279" s="273">
        <v>278</v>
      </c>
      <c r="B279" s="271" t="s">
        <v>3205</v>
      </c>
      <c r="C279" s="400">
        <v>43650</v>
      </c>
      <c r="D279" s="312" t="s">
        <v>21</v>
      </c>
      <c r="E279" s="273" t="s">
        <v>3206</v>
      </c>
      <c r="F279" s="273" t="s">
        <v>21</v>
      </c>
      <c r="G279" s="139"/>
      <c r="H279" s="139"/>
      <c r="I279" s="139"/>
      <c r="J279" s="139"/>
      <c r="K279" s="139"/>
      <c r="L279" s="139"/>
      <c r="M279" s="139"/>
      <c r="N279" s="139"/>
      <c r="O279" s="139"/>
      <c r="P279" s="139"/>
      <c r="Q279" s="139"/>
      <c r="R279" s="139"/>
      <c r="S279" s="139"/>
      <c r="T279" s="139"/>
      <c r="U279" s="139"/>
      <c r="V279" s="139"/>
      <c r="W279" s="139"/>
      <c r="X279" s="139"/>
      <c r="Y279" s="139"/>
      <c r="Z279" s="139"/>
    </row>
    <row r="280" spans="1:26" ht="33.75" customHeight="1">
      <c r="A280" s="273">
        <v>279</v>
      </c>
      <c r="B280" s="271" t="s">
        <v>3207</v>
      </c>
      <c r="C280" s="400">
        <v>43651</v>
      </c>
      <c r="D280" s="312" t="s">
        <v>21</v>
      </c>
      <c r="E280" s="273" t="s">
        <v>3208</v>
      </c>
      <c r="F280" s="273" t="s">
        <v>21</v>
      </c>
      <c r="G280" s="139"/>
      <c r="H280" s="139"/>
      <c r="I280" s="139"/>
      <c r="J280" s="139"/>
      <c r="K280" s="139"/>
      <c r="L280" s="139"/>
      <c r="M280" s="139"/>
      <c r="N280" s="139"/>
      <c r="O280" s="139"/>
      <c r="P280" s="139"/>
      <c r="Q280" s="139"/>
      <c r="R280" s="139"/>
      <c r="S280" s="139"/>
      <c r="T280" s="139"/>
      <c r="U280" s="139"/>
      <c r="V280" s="139"/>
      <c r="W280" s="139"/>
      <c r="X280" s="139"/>
      <c r="Y280" s="139"/>
      <c r="Z280" s="139"/>
    </row>
    <row r="281" spans="1:26" ht="33.75" customHeight="1">
      <c r="A281" s="273">
        <v>281</v>
      </c>
      <c r="B281" s="270" t="s">
        <v>3209</v>
      </c>
      <c r="C281" s="399">
        <v>43733</v>
      </c>
      <c r="D281" s="273" t="s">
        <v>21</v>
      </c>
      <c r="E281" s="273" t="s">
        <v>3210</v>
      </c>
      <c r="F281" s="273" t="s">
        <v>21</v>
      </c>
      <c r="G281" s="139"/>
      <c r="H281" s="139"/>
      <c r="I281" s="139"/>
      <c r="J281" s="139"/>
      <c r="K281" s="139"/>
      <c r="L281" s="139"/>
      <c r="M281" s="139"/>
      <c r="N281" s="139"/>
      <c r="O281" s="139"/>
      <c r="P281" s="139"/>
      <c r="Q281" s="139"/>
      <c r="R281" s="139"/>
      <c r="S281" s="139"/>
      <c r="T281" s="139"/>
      <c r="U281" s="139"/>
      <c r="V281" s="139"/>
      <c r="W281" s="139"/>
      <c r="X281" s="139"/>
      <c r="Y281" s="139"/>
      <c r="Z281" s="139"/>
    </row>
    <row r="282" spans="1:26" ht="33.75" customHeight="1">
      <c r="A282" s="273">
        <v>282</v>
      </c>
      <c r="B282" s="270" t="s">
        <v>3211</v>
      </c>
      <c r="C282" s="399">
        <v>43773</v>
      </c>
      <c r="D282" s="273" t="s">
        <v>21</v>
      </c>
      <c r="E282" s="273" t="s">
        <v>3212</v>
      </c>
      <c r="F282" s="273" t="s">
        <v>21</v>
      </c>
      <c r="G282" s="139"/>
      <c r="H282" s="139"/>
      <c r="I282" s="139"/>
      <c r="J282" s="139"/>
      <c r="K282" s="139"/>
      <c r="L282" s="139"/>
      <c r="M282" s="139"/>
      <c r="N282" s="139"/>
      <c r="O282" s="139"/>
      <c r="P282" s="139"/>
      <c r="Q282" s="139"/>
      <c r="R282" s="139"/>
      <c r="S282" s="139"/>
      <c r="T282" s="139"/>
      <c r="U282" s="139"/>
      <c r="V282" s="139"/>
      <c r="W282" s="139"/>
      <c r="X282" s="139"/>
      <c r="Y282" s="139"/>
      <c r="Z282" s="139"/>
    </row>
    <row r="283" spans="1:26" ht="33.75" customHeight="1">
      <c r="A283" s="273">
        <v>283</v>
      </c>
      <c r="B283" s="270" t="s">
        <v>3213</v>
      </c>
      <c r="C283" s="396">
        <v>43871</v>
      </c>
      <c r="D283" s="273" t="s">
        <v>21</v>
      </c>
      <c r="E283" s="273" t="s">
        <v>3214</v>
      </c>
      <c r="F283" s="273" t="s">
        <v>3215</v>
      </c>
      <c r="G283" s="139"/>
      <c r="H283" s="139"/>
      <c r="I283" s="139"/>
      <c r="J283" s="139"/>
      <c r="K283" s="139"/>
      <c r="L283" s="139"/>
      <c r="M283" s="139"/>
      <c r="N283" s="139"/>
      <c r="O283" s="139"/>
      <c r="P283" s="139"/>
      <c r="Q283" s="139"/>
      <c r="R283" s="139"/>
      <c r="S283" s="139"/>
      <c r="T283" s="139"/>
      <c r="U283" s="139"/>
      <c r="V283" s="139"/>
      <c r="W283" s="139"/>
      <c r="X283" s="139"/>
      <c r="Y283" s="139"/>
      <c r="Z283" s="139"/>
    </row>
    <row r="284" spans="1:26" ht="33.75" customHeight="1">
      <c r="A284" s="273">
        <v>284</v>
      </c>
      <c r="B284" s="270" t="s">
        <v>3216</v>
      </c>
      <c r="C284" s="396">
        <v>43871</v>
      </c>
      <c r="D284" s="273" t="s">
        <v>21</v>
      </c>
      <c r="E284" s="273" t="s">
        <v>3217</v>
      </c>
      <c r="F284" s="273" t="s">
        <v>3215</v>
      </c>
      <c r="G284" s="139"/>
      <c r="H284" s="139"/>
      <c r="I284" s="139"/>
      <c r="J284" s="139"/>
      <c r="K284" s="139"/>
      <c r="L284" s="139"/>
      <c r="M284" s="139"/>
      <c r="N284" s="139"/>
      <c r="O284" s="139"/>
      <c r="P284" s="139"/>
      <c r="Q284" s="139"/>
      <c r="R284" s="139"/>
      <c r="S284" s="139"/>
      <c r="T284" s="139"/>
      <c r="U284" s="139"/>
      <c r="V284" s="139"/>
      <c r="W284" s="139"/>
      <c r="X284" s="139"/>
      <c r="Y284" s="139"/>
      <c r="Z284" s="139"/>
    </row>
    <row r="285" spans="1:26" ht="33.75" customHeight="1">
      <c r="A285" s="273">
        <v>285</v>
      </c>
      <c r="B285" s="270" t="s">
        <v>3218</v>
      </c>
      <c r="C285" s="396">
        <v>43871</v>
      </c>
      <c r="D285" s="273" t="s">
        <v>21</v>
      </c>
      <c r="E285" s="273" t="s">
        <v>3219</v>
      </c>
      <c r="F285" s="273" t="s">
        <v>3215</v>
      </c>
      <c r="G285" s="139"/>
      <c r="H285" s="139"/>
      <c r="I285" s="139"/>
      <c r="J285" s="139"/>
      <c r="K285" s="139"/>
      <c r="L285" s="139"/>
      <c r="M285" s="139"/>
      <c r="N285" s="139"/>
      <c r="O285" s="139"/>
      <c r="P285" s="139"/>
      <c r="Q285" s="139"/>
      <c r="R285" s="139"/>
      <c r="S285" s="139"/>
      <c r="T285" s="139"/>
      <c r="U285" s="139"/>
      <c r="V285" s="139"/>
      <c r="W285" s="139"/>
      <c r="X285" s="139"/>
      <c r="Y285" s="139"/>
      <c r="Z285" s="139"/>
    </row>
    <row r="286" spans="1:26" ht="33.75" customHeight="1">
      <c r="A286" s="273">
        <v>286</v>
      </c>
      <c r="B286" s="270" t="s">
        <v>3220</v>
      </c>
      <c r="C286" s="396">
        <v>43871</v>
      </c>
      <c r="D286" s="273" t="s">
        <v>21</v>
      </c>
      <c r="E286" s="273" t="s">
        <v>3221</v>
      </c>
      <c r="F286" s="273" t="s">
        <v>3215</v>
      </c>
      <c r="G286" s="139"/>
      <c r="H286" s="139"/>
      <c r="I286" s="139"/>
      <c r="J286" s="139"/>
      <c r="K286" s="139"/>
      <c r="L286" s="139"/>
      <c r="M286" s="139"/>
      <c r="N286" s="139"/>
      <c r="O286" s="139"/>
      <c r="P286" s="139"/>
      <c r="Q286" s="139"/>
      <c r="R286" s="139"/>
      <c r="S286" s="139"/>
      <c r="T286" s="139"/>
      <c r="U286" s="139"/>
      <c r="V286" s="139"/>
      <c r="W286" s="139"/>
      <c r="X286" s="139"/>
      <c r="Y286" s="139"/>
      <c r="Z286" s="139"/>
    </row>
    <row r="287" spans="1:26" ht="33.75" customHeight="1">
      <c r="A287" s="273">
        <v>287</v>
      </c>
      <c r="B287" s="270" t="s">
        <v>3222</v>
      </c>
      <c r="C287" s="396">
        <v>43867</v>
      </c>
      <c r="D287" s="273" t="s">
        <v>21</v>
      </c>
      <c r="E287" s="273" t="s">
        <v>3223</v>
      </c>
      <c r="F287" s="273" t="s">
        <v>1832</v>
      </c>
      <c r="G287" s="139"/>
      <c r="H287" s="139"/>
      <c r="I287" s="139"/>
      <c r="J287" s="139"/>
      <c r="K287" s="139"/>
      <c r="L287" s="139"/>
      <c r="M287" s="139"/>
      <c r="N287" s="139"/>
      <c r="O287" s="139"/>
      <c r="P287" s="139"/>
      <c r="Q287" s="139"/>
      <c r="R287" s="139"/>
      <c r="S287" s="139"/>
      <c r="T287" s="139"/>
      <c r="U287" s="139"/>
      <c r="V287" s="139"/>
      <c r="W287" s="139"/>
      <c r="X287" s="139"/>
      <c r="Y287" s="139"/>
      <c r="Z287" s="139"/>
    </row>
    <row r="288" spans="1:26" ht="115.2">
      <c r="A288" s="273">
        <v>288</v>
      </c>
      <c r="B288" s="270" t="s">
        <v>3224</v>
      </c>
      <c r="C288" s="396">
        <v>43870</v>
      </c>
      <c r="D288" s="273" t="s">
        <v>21</v>
      </c>
      <c r="E288" s="273" t="s">
        <v>3225</v>
      </c>
      <c r="F288" s="273" t="s">
        <v>1832</v>
      </c>
      <c r="G288" s="139"/>
      <c r="H288" s="139"/>
      <c r="I288" s="139"/>
      <c r="J288" s="139"/>
      <c r="K288" s="139"/>
      <c r="L288" s="139"/>
      <c r="M288" s="139"/>
      <c r="N288" s="139"/>
      <c r="O288" s="139"/>
      <c r="P288" s="139"/>
      <c r="Q288" s="139"/>
      <c r="R288" s="139"/>
      <c r="S288" s="139"/>
      <c r="T288" s="139"/>
      <c r="U288" s="139"/>
      <c r="V288" s="139"/>
      <c r="W288" s="139"/>
      <c r="X288" s="139"/>
      <c r="Y288" s="139"/>
      <c r="Z288" s="139"/>
    </row>
    <row r="289" spans="1:26" ht="33.75" customHeight="1">
      <c r="A289" s="273">
        <v>289</v>
      </c>
      <c r="B289" s="270" t="s">
        <v>3226</v>
      </c>
      <c r="C289" s="396">
        <v>43870</v>
      </c>
      <c r="D289" s="273" t="s">
        <v>21</v>
      </c>
      <c r="E289" s="273" t="s">
        <v>3227</v>
      </c>
      <c r="F289" s="273" t="s">
        <v>1832</v>
      </c>
      <c r="G289" s="139"/>
      <c r="H289" s="139"/>
      <c r="I289" s="139"/>
      <c r="J289" s="139"/>
      <c r="K289" s="139"/>
      <c r="L289" s="139"/>
      <c r="M289" s="139"/>
      <c r="N289" s="139"/>
      <c r="O289" s="139"/>
      <c r="P289" s="139"/>
      <c r="Q289" s="139"/>
      <c r="R289" s="139"/>
      <c r="S289" s="139"/>
      <c r="T289" s="139"/>
      <c r="U289" s="139"/>
      <c r="V289" s="139"/>
      <c r="W289" s="139"/>
      <c r="X289" s="139"/>
      <c r="Y289" s="139"/>
      <c r="Z289" s="139"/>
    </row>
    <row r="290" spans="1:26" ht="33.75" customHeight="1">
      <c r="A290" s="273">
        <v>290</v>
      </c>
      <c r="B290" s="270" t="s">
        <v>3228</v>
      </c>
      <c r="C290" s="396">
        <v>43970</v>
      </c>
      <c r="D290" s="273" t="s">
        <v>21</v>
      </c>
      <c r="E290" s="401" t="s">
        <v>3229</v>
      </c>
      <c r="F290" s="273" t="s">
        <v>21</v>
      </c>
      <c r="G290" s="139"/>
      <c r="H290" s="139"/>
      <c r="I290" s="139"/>
      <c r="J290" s="139"/>
      <c r="K290" s="139"/>
      <c r="L290" s="139"/>
      <c r="M290" s="139"/>
      <c r="N290" s="139"/>
      <c r="O290" s="139"/>
      <c r="P290" s="139"/>
      <c r="Q290" s="139"/>
      <c r="R290" s="139"/>
      <c r="S290" s="139"/>
      <c r="T290" s="139"/>
      <c r="U290" s="139"/>
      <c r="V290" s="139"/>
      <c r="W290" s="139"/>
      <c r="X290" s="139"/>
      <c r="Y290" s="139"/>
      <c r="Z290" s="139"/>
    </row>
    <row r="291" spans="1:26" ht="33.75" customHeight="1">
      <c r="A291" s="273">
        <v>291</v>
      </c>
      <c r="B291" s="270" t="s">
        <v>3230</v>
      </c>
      <c r="C291" s="396">
        <v>43971</v>
      </c>
      <c r="D291" s="273" t="s">
        <v>21</v>
      </c>
      <c r="E291" s="401" t="s">
        <v>3231</v>
      </c>
      <c r="F291" s="401" t="s">
        <v>3232</v>
      </c>
      <c r="G291" s="139"/>
      <c r="H291" s="139"/>
      <c r="I291" s="139"/>
      <c r="J291" s="139"/>
      <c r="K291" s="139"/>
      <c r="L291" s="139"/>
      <c r="M291" s="139"/>
      <c r="N291" s="139"/>
      <c r="O291" s="139"/>
      <c r="P291" s="139"/>
      <c r="Q291" s="139"/>
      <c r="R291" s="139"/>
      <c r="S291" s="139"/>
      <c r="T291" s="139"/>
      <c r="U291" s="139"/>
      <c r="V291" s="139"/>
      <c r="W291" s="139"/>
      <c r="X291" s="139"/>
      <c r="Y291" s="139"/>
      <c r="Z291" s="139"/>
    </row>
    <row r="292" spans="1:26" ht="33.75" customHeight="1">
      <c r="A292" s="273">
        <v>292</v>
      </c>
      <c r="B292" s="272" t="s">
        <v>3233</v>
      </c>
      <c r="C292" s="396">
        <v>43971</v>
      </c>
      <c r="D292" s="273" t="s">
        <v>21</v>
      </c>
      <c r="E292" s="401" t="s">
        <v>3234</v>
      </c>
      <c r="F292" s="273" t="s">
        <v>21</v>
      </c>
      <c r="G292" s="139"/>
      <c r="H292" s="139"/>
      <c r="I292" s="139"/>
      <c r="J292" s="139"/>
      <c r="K292" s="139"/>
      <c r="L292" s="139"/>
      <c r="M292" s="139"/>
      <c r="N292" s="139"/>
      <c r="O292" s="139"/>
      <c r="P292" s="139"/>
      <c r="Q292" s="139"/>
      <c r="R292" s="139"/>
      <c r="S292" s="139"/>
      <c r="T292" s="139"/>
      <c r="U292" s="139"/>
      <c r="V292" s="139"/>
      <c r="W292" s="139"/>
      <c r="X292" s="139"/>
      <c r="Y292" s="139"/>
      <c r="Z292" s="139"/>
    </row>
    <row r="293" spans="1:26" ht="33.75" customHeight="1">
      <c r="A293" s="273">
        <v>293</v>
      </c>
      <c r="B293" s="270" t="s">
        <v>3235</v>
      </c>
      <c r="C293" s="396">
        <v>43979</v>
      </c>
      <c r="D293" s="273" t="s">
        <v>21</v>
      </c>
      <c r="E293" s="401" t="s">
        <v>3236</v>
      </c>
      <c r="F293" s="273" t="s">
        <v>21</v>
      </c>
      <c r="G293" s="139"/>
      <c r="H293" s="139"/>
      <c r="I293" s="139"/>
      <c r="J293" s="139"/>
      <c r="K293" s="139"/>
      <c r="L293" s="139"/>
      <c r="M293" s="139"/>
      <c r="N293" s="139"/>
      <c r="O293" s="139"/>
      <c r="P293" s="139"/>
      <c r="Q293" s="139"/>
      <c r="R293" s="139"/>
      <c r="S293" s="139"/>
      <c r="T293" s="139"/>
      <c r="U293" s="139"/>
      <c r="V293" s="139"/>
      <c r="W293" s="139"/>
      <c r="X293" s="139"/>
      <c r="Y293" s="139"/>
      <c r="Z293" s="139"/>
    </row>
    <row r="294" spans="1:26" ht="100.8">
      <c r="A294" s="273">
        <v>294</v>
      </c>
      <c r="B294" s="270" t="s">
        <v>3237</v>
      </c>
      <c r="C294" s="396">
        <v>44015</v>
      </c>
      <c r="D294" s="273" t="s">
        <v>21</v>
      </c>
      <c r="E294" s="401" t="s">
        <v>3238</v>
      </c>
      <c r="F294" s="272" t="s">
        <v>1907</v>
      </c>
      <c r="G294" s="139"/>
      <c r="H294" s="139"/>
      <c r="I294" s="139"/>
      <c r="J294" s="139"/>
      <c r="K294" s="139"/>
      <c r="L294" s="139"/>
      <c r="M294" s="139"/>
      <c r="N294" s="139"/>
      <c r="O294" s="139"/>
      <c r="P294" s="139"/>
      <c r="Q294" s="139"/>
      <c r="R294" s="139"/>
      <c r="S294" s="139"/>
      <c r="T294" s="139"/>
      <c r="U294" s="139"/>
      <c r="V294" s="139"/>
      <c r="W294" s="139"/>
      <c r="X294" s="139"/>
      <c r="Y294" s="139"/>
      <c r="Z294" s="139"/>
    </row>
    <row r="295" spans="1:26" ht="33.75" customHeight="1">
      <c r="A295" s="273">
        <v>299</v>
      </c>
      <c r="B295" s="270" t="s">
        <v>3239</v>
      </c>
      <c r="C295" s="396">
        <v>44040</v>
      </c>
      <c r="D295" s="273" t="s">
        <v>21</v>
      </c>
      <c r="E295" s="273" t="s">
        <v>3240</v>
      </c>
      <c r="F295" s="270" t="s">
        <v>3241</v>
      </c>
      <c r="G295" s="88"/>
      <c r="H295" s="88"/>
      <c r="I295" s="88"/>
      <c r="J295" s="88"/>
      <c r="K295" s="88"/>
      <c r="L295" s="88"/>
      <c r="M295" s="88"/>
      <c r="N295" s="88"/>
      <c r="O295" s="88"/>
      <c r="P295" s="88"/>
      <c r="Q295" s="88"/>
      <c r="R295" s="88"/>
      <c r="S295" s="88"/>
      <c r="T295" s="88"/>
      <c r="U295" s="88"/>
      <c r="V295" s="88"/>
      <c r="W295" s="88"/>
      <c r="X295" s="88"/>
      <c r="Y295" s="88"/>
      <c r="Z295" s="88"/>
    </row>
    <row r="296" spans="1:26" ht="33.75" customHeight="1">
      <c r="A296" s="273">
        <v>300</v>
      </c>
      <c r="B296" s="270" t="s">
        <v>3242</v>
      </c>
      <c r="C296" s="396">
        <v>44077</v>
      </c>
      <c r="D296" s="273" t="s">
        <v>21</v>
      </c>
      <c r="E296" s="273" t="s">
        <v>3243</v>
      </c>
      <c r="F296" s="271" t="s">
        <v>3244</v>
      </c>
      <c r="G296" s="88"/>
      <c r="H296" s="88"/>
      <c r="I296" s="88"/>
      <c r="J296" s="88"/>
      <c r="K296" s="88"/>
      <c r="L296" s="88"/>
      <c r="M296" s="88"/>
      <c r="N296" s="88"/>
      <c r="O296" s="88"/>
      <c r="P296" s="88"/>
      <c r="Q296" s="88"/>
      <c r="R296" s="88"/>
      <c r="S296" s="88"/>
      <c r="T296" s="88"/>
      <c r="U296" s="88"/>
      <c r="V296" s="88"/>
      <c r="W296" s="88"/>
      <c r="X296" s="88"/>
      <c r="Y296" s="88"/>
      <c r="Z296" s="88"/>
    </row>
    <row r="297" spans="1:26" ht="33.75" customHeight="1">
      <c r="A297" s="273">
        <v>301</v>
      </c>
      <c r="B297" s="271" t="s">
        <v>3245</v>
      </c>
      <c r="C297" s="396">
        <v>44091</v>
      </c>
      <c r="D297" s="273" t="s">
        <v>21</v>
      </c>
      <c r="E297" s="401" t="s">
        <v>3246</v>
      </c>
      <c r="F297" s="272" t="s">
        <v>3247</v>
      </c>
      <c r="G297" s="139"/>
      <c r="H297" s="139"/>
      <c r="I297" s="139"/>
      <c r="J297" s="139"/>
      <c r="K297" s="139"/>
      <c r="L297" s="139"/>
      <c r="M297" s="139"/>
      <c r="N297" s="139"/>
      <c r="O297" s="139"/>
      <c r="P297" s="139"/>
      <c r="Q297" s="139"/>
      <c r="R297" s="139"/>
      <c r="S297" s="139"/>
      <c r="T297" s="139"/>
      <c r="U297" s="139"/>
      <c r="V297" s="139"/>
      <c r="W297" s="139"/>
      <c r="X297" s="139"/>
      <c r="Y297" s="139"/>
      <c r="Z297" s="139"/>
    </row>
    <row r="298" spans="1:26" ht="33.75" customHeight="1">
      <c r="A298" s="273">
        <v>302</v>
      </c>
      <c r="B298" s="270" t="s">
        <v>3248</v>
      </c>
      <c r="C298" s="396">
        <v>44097</v>
      </c>
      <c r="D298" s="273" t="s">
        <v>21</v>
      </c>
      <c r="E298" s="273" t="s">
        <v>3249</v>
      </c>
      <c r="F298" s="273" t="s">
        <v>21</v>
      </c>
      <c r="G298" s="139"/>
      <c r="H298" s="139"/>
      <c r="I298" s="139"/>
      <c r="J298" s="139"/>
      <c r="K298" s="139"/>
      <c r="L298" s="139"/>
      <c r="M298" s="139"/>
      <c r="N298" s="139"/>
      <c r="O298" s="139"/>
      <c r="P298" s="139"/>
      <c r="Q298" s="139"/>
      <c r="R298" s="139"/>
      <c r="S298" s="139"/>
      <c r="T298" s="139"/>
      <c r="U298" s="139"/>
      <c r="V298" s="139"/>
      <c r="W298" s="139"/>
      <c r="X298" s="139"/>
      <c r="Y298" s="139"/>
      <c r="Z298" s="139"/>
    </row>
    <row r="299" spans="1:26" ht="33.75" customHeight="1">
      <c r="A299" s="273">
        <v>303</v>
      </c>
      <c r="B299" s="270" t="s">
        <v>3250</v>
      </c>
      <c r="C299" s="396">
        <v>44101</v>
      </c>
      <c r="D299" s="273" t="s">
        <v>21</v>
      </c>
      <c r="E299" s="273" t="s">
        <v>3251</v>
      </c>
      <c r="F299" s="273" t="s">
        <v>3252</v>
      </c>
      <c r="G299" s="139"/>
      <c r="H299" s="139"/>
      <c r="I299" s="139"/>
      <c r="J299" s="139"/>
      <c r="K299" s="139"/>
      <c r="L299" s="139"/>
      <c r="M299" s="139"/>
      <c r="N299" s="139"/>
      <c r="O299" s="139"/>
      <c r="P299" s="139"/>
      <c r="Q299" s="139"/>
      <c r="R299" s="139"/>
      <c r="S299" s="139"/>
      <c r="T299" s="139"/>
      <c r="U299" s="139"/>
      <c r="V299" s="139"/>
      <c r="W299" s="139"/>
      <c r="X299" s="139"/>
      <c r="Y299" s="139"/>
      <c r="Z299" s="139"/>
    </row>
    <row r="300" spans="1:26" ht="33.75" customHeight="1">
      <c r="A300" s="273">
        <v>304</v>
      </c>
      <c r="B300" s="270" t="s">
        <v>3253</v>
      </c>
      <c r="C300" s="396">
        <v>44106</v>
      </c>
      <c r="D300" s="273" t="s">
        <v>21</v>
      </c>
      <c r="E300" s="273" t="s">
        <v>3254</v>
      </c>
      <c r="F300" s="271" t="s">
        <v>3255</v>
      </c>
      <c r="G300" s="139"/>
      <c r="H300" s="139"/>
      <c r="I300" s="139"/>
      <c r="J300" s="139"/>
      <c r="K300" s="139"/>
      <c r="L300" s="139"/>
      <c r="M300" s="139"/>
      <c r="N300" s="139"/>
      <c r="O300" s="139"/>
      <c r="P300" s="139"/>
      <c r="Q300" s="139"/>
      <c r="R300" s="139"/>
      <c r="S300" s="139"/>
      <c r="T300" s="139"/>
      <c r="U300" s="139"/>
      <c r="V300" s="139"/>
      <c r="W300" s="139"/>
      <c r="X300" s="139"/>
      <c r="Y300" s="139"/>
      <c r="Z300" s="139"/>
    </row>
    <row r="301" spans="1:26" ht="33.75" customHeight="1">
      <c r="A301" s="273">
        <v>305</v>
      </c>
      <c r="B301" s="271" t="s">
        <v>3256</v>
      </c>
      <c r="C301" s="396">
        <v>44145</v>
      </c>
      <c r="D301" s="273" t="s">
        <v>21</v>
      </c>
      <c r="E301" s="401" t="s">
        <v>3257</v>
      </c>
      <c r="F301" s="402" t="s">
        <v>4887</v>
      </c>
      <c r="G301" s="139"/>
      <c r="H301" s="139"/>
      <c r="I301" s="139"/>
      <c r="J301" s="139"/>
      <c r="K301" s="139"/>
      <c r="L301" s="139"/>
      <c r="M301" s="139"/>
      <c r="N301" s="139"/>
      <c r="O301" s="139"/>
      <c r="P301" s="139"/>
      <c r="Q301" s="139"/>
      <c r="R301" s="139"/>
      <c r="S301" s="139"/>
      <c r="T301" s="139"/>
      <c r="U301" s="139"/>
      <c r="V301" s="139"/>
      <c r="W301" s="139"/>
      <c r="X301" s="139"/>
      <c r="Y301" s="139"/>
      <c r="Z301" s="139"/>
    </row>
    <row r="302" spans="1:26" ht="86.4">
      <c r="A302" s="273">
        <v>306</v>
      </c>
      <c r="B302" s="271" t="s">
        <v>3258</v>
      </c>
      <c r="C302" s="396">
        <v>44168</v>
      </c>
      <c r="D302" s="273" t="s">
        <v>21</v>
      </c>
      <c r="E302" s="273" t="s">
        <v>3259</v>
      </c>
      <c r="F302" s="273" t="s">
        <v>21</v>
      </c>
      <c r="G302" s="139"/>
      <c r="H302" s="139"/>
      <c r="I302" s="139"/>
      <c r="J302" s="139"/>
      <c r="K302" s="139"/>
      <c r="L302" s="139"/>
      <c r="M302" s="139"/>
      <c r="N302" s="139"/>
      <c r="O302" s="139"/>
      <c r="P302" s="139"/>
      <c r="Q302" s="139"/>
      <c r="R302" s="139"/>
      <c r="S302" s="139"/>
      <c r="T302" s="139"/>
      <c r="U302" s="139"/>
      <c r="V302" s="139"/>
      <c r="W302" s="139"/>
      <c r="X302" s="139"/>
      <c r="Y302" s="139"/>
      <c r="Z302" s="139"/>
    </row>
    <row r="303" spans="1:26" ht="57.6">
      <c r="A303" s="273">
        <v>307</v>
      </c>
      <c r="B303" s="271" t="s">
        <v>3260</v>
      </c>
      <c r="C303" s="396">
        <v>44172</v>
      </c>
      <c r="D303" s="273" t="s">
        <v>21</v>
      </c>
      <c r="E303" s="401" t="s">
        <v>3261</v>
      </c>
      <c r="F303" s="273" t="s">
        <v>21</v>
      </c>
      <c r="G303" s="139"/>
      <c r="H303" s="139"/>
      <c r="I303" s="139"/>
      <c r="J303" s="139"/>
      <c r="K303" s="139"/>
      <c r="L303" s="139"/>
      <c r="M303" s="139"/>
      <c r="N303" s="139"/>
      <c r="O303" s="139"/>
      <c r="P303" s="139"/>
      <c r="Q303" s="139"/>
      <c r="R303" s="139"/>
      <c r="S303" s="139"/>
      <c r="T303" s="139"/>
      <c r="U303" s="139"/>
      <c r="V303" s="139"/>
      <c r="W303" s="139"/>
      <c r="X303" s="139"/>
      <c r="Y303" s="139"/>
      <c r="Z303" s="139"/>
    </row>
    <row r="304" spans="1:26" ht="100.8">
      <c r="A304" s="273">
        <v>308</v>
      </c>
      <c r="B304" s="271" t="s">
        <v>3262</v>
      </c>
      <c r="C304" s="403">
        <v>44207</v>
      </c>
      <c r="D304" s="273" t="s">
        <v>21</v>
      </c>
      <c r="E304" s="401" t="s">
        <v>3263</v>
      </c>
      <c r="F304" s="273" t="s">
        <v>21</v>
      </c>
      <c r="G304" s="139"/>
      <c r="H304" s="139"/>
      <c r="I304" s="139"/>
      <c r="J304" s="139"/>
      <c r="K304" s="139"/>
      <c r="L304" s="139"/>
      <c r="M304" s="139"/>
      <c r="N304" s="139"/>
      <c r="O304" s="139"/>
      <c r="P304" s="139"/>
      <c r="Q304" s="139"/>
      <c r="R304" s="139"/>
      <c r="S304" s="139"/>
      <c r="T304" s="139"/>
      <c r="U304" s="139"/>
      <c r="V304" s="139"/>
      <c r="W304" s="139"/>
      <c r="X304" s="139"/>
      <c r="Y304" s="139"/>
      <c r="Z304" s="139"/>
    </row>
    <row r="305" spans="1:26" ht="33.75" customHeight="1">
      <c r="A305" s="273">
        <v>309</v>
      </c>
      <c r="B305" s="271" t="s">
        <v>3264</v>
      </c>
      <c r="C305" s="396">
        <v>44216</v>
      </c>
      <c r="D305" s="273" t="s">
        <v>21</v>
      </c>
      <c r="E305" s="401" t="s">
        <v>3265</v>
      </c>
      <c r="F305" s="273" t="s">
        <v>21</v>
      </c>
      <c r="G305" s="139"/>
      <c r="H305" s="139"/>
      <c r="I305" s="139"/>
      <c r="J305" s="139"/>
      <c r="K305" s="139"/>
      <c r="L305" s="139"/>
      <c r="M305" s="139"/>
      <c r="N305" s="139"/>
      <c r="O305" s="139"/>
      <c r="P305" s="139"/>
      <c r="Q305" s="139"/>
      <c r="R305" s="139"/>
      <c r="S305" s="139"/>
      <c r="T305" s="139"/>
      <c r="U305" s="139"/>
      <c r="V305" s="139"/>
      <c r="W305" s="139"/>
      <c r="X305" s="139"/>
      <c r="Y305" s="139"/>
      <c r="Z305" s="139"/>
    </row>
    <row r="306" spans="1:26" ht="33.75" customHeight="1">
      <c r="A306" s="273">
        <v>310</v>
      </c>
      <c r="B306" s="270" t="s">
        <v>3266</v>
      </c>
      <c r="C306" s="396">
        <v>44216</v>
      </c>
      <c r="D306" s="273" t="s">
        <v>21</v>
      </c>
      <c r="E306" s="401" t="s">
        <v>3267</v>
      </c>
      <c r="F306" s="273" t="s">
        <v>21</v>
      </c>
      <c r="G306" s="139"/>
      <c r="H306" s="139"/>
      <c r="I306" s="139"/>
      <c r="J306" s="139"/>
      <c r="K306" s="139"/>
      <c r="L306" s="139"/>
      <c r="M306" s="139"/>
      <c r="N306" s="139"/>
      <c r="O306" s="139"/>
      <c r="P306" s="139"/>
      <c r="Q306" s="139"/>
      <c r="R306" s="139"/>
      <c r="S306" s="139"/>
      <c r="T306" s="139"/>
      <c r="U306" s="139"/>
      <c r="V306" s="139"/>
      <c r="W306" s="139"/>
      <c r="X306" s="139"/>
      <c r="Y306" s="139"/>
      <c r="Z306" s="139"/>
    </row>
    <row r="307" spans="1:26" ht="72">
      <c r="A307" s="273">
        <v>311</v>
      </c>
      <c r="B307" s="270" t="s">
        <v>3268</v>
      </c>
      <c r="C307" s="396">
        <v>44221</v>
      </c>
      <c r="D307" s="273" t="s">
        <v>21</v>
      </c>
      <c r="E307" s="273" t="s">
        <v>3269</v>
      </c>
      <c r="F307" s="273" t="s">
        <v>21</v>
      </c>
      <c r="G307" s="139"/>
      <c r="H307" s="139"/>
      <c r="I307" s="139"/>
      <c r="J307" s="139"/>
      <c r="K307" s="139"/>
      <c r="L307" s="139"/>
      <c r="M307" s="139"/>
      <c r="N307" s="139"/>
      <c r="O307" s="139"/>
      <c r="P307" s="139"/>
      <c r="Q307" s="139"/>
      <c r="R307" s="139"/>
      <c r="S307" s="139"/>
      <c r="T307" s="139"/>
      <c r="U307" s="139"/>
      <c r="V307" s="139"/>
      <c r="W307" s="139"/>
      <c r="X307" s="139"/>
      <c r="Y307" s="139"/>
      <c r="Z307" s="139"/>
    </row>
    <row r="308" spans="1:26" ht="72">
      <c r="A308" s="273">
        <v>312</v>
      </c>
      <c r="B308" s="270" t="s">
        <v>3270</v>
      </c>
      <c r="C308" s="396">
        <v>44224</v>
      </c>
      <c r="D308" s="273" t="s">
        <v>21</v>
      </c>
      <c r="E308" s="401" t="s">
        <v>3271</v>
      </c>
      <c r="F308" s="273" t="s">
        <v>21</v>
      </c>
      <c r="G308" s="139"/>
      <c r="H308" s="139"/>
      <c r="I308" s="139"/>
      <c r="J308" s="139"/>
      <c r="K308" s="139"/>
      <c r="L308" s="139"/>
      <c r="M308" s="139"/>
      <c r="N308" s="139"/>
      <c r="O308" s="139"/>
      <c r="P308" s="139"/>
      <c r="Q308" s="139"/>
      <c r="R308" s="139"/>
      <c r="S308" s="139"/>
      <c r="T308" s="139"/>
      <c r="U308" s="139"/>
      <c r="V308" s="139"/>
      <c r="W308" s="139"/>
      <c r="X308" s="139"/>
      <c r="Y308" s="139"/>
      <c r="Z308" s="139"/>
    </row>
    <row r="309" spans="1:26" ht="33.75" customHeight="1">
      <c r="A309" s="273">
        <v>313</v>
      </c>
      <c r="B309" s="270" t="s">
        <v>3272</v>
      </c>
      <c r="C309" s="396">
        <v>44228</v>
      </c>
      <c r="D309" s="273" t="s">
        <v>21</v>
      </c>
      <c r="E309" s="401" t="s">
        <v>3273</v>
      </c>
      <c r="F309" s="273" t="s">
        <v>21</v>
      </c>
      <c r="G309" s="139"/>
      <c r="H309" s="139"/>
      <c r="I309" s="139"/>
      <c r="J309" s="139"/>
      <c r="K309" s="139"/>
      <c r="L309" s="139"/>
      <c r="M309" s="139"/>
      <c r="N309" s="139"/>
      <c r="O309" s="139"/>
      <c r="P309" s="139"/>
      <c r="Q309" s="139"/>
      <c r="R309" s="139"/>
      <c r="S309" s="139"/>
      <c r="T309" s="139"/>
      <c r="U309" s="139"/>
      <c r="V309" s="139"/>
      <c r="W309" s="139"/>
      <c r="X309" s="139"/>
      <c r="Y309" s="139"/>
      <c r="Z309" s="139"/>
    </row>
    <row r="310" spans="1:26" ht="33.75" customHeight="1">
      <c r="A310" s="273">
        <v>314</v>
      </c>
      <c r="B310" s="270" t="s">
        <v>3274</v>
      </c>
      <c r="C310" s="396">
        <v>44230</v>
      </c>
      <c r="D310" s="273" t="s">
        <v>21</v>
      </c>
      <c r="E310" s="401" t="s">
        <v>3275</v>
      </c>
      <c r="F310" s="273" t="s">
        <v>21</v>
      </c>
      <c r="G310" s="139"/>
      <c r="H310" s="139"/>
      <c r="I310" s="139"/>
      <c r="J310" s="139"/>
      <c r="K310" s="139"/>
      <c r="L310" s="139"/>
      <c r="M310" s="139"/>
      <c r="N310" s="139"/>
      <c r="O310" s="139"/>
      <c r="P310" s="139"/>
      <c r="Q310" s="139"/>
      <c r="R310" s="139"/>
      <c r="S310" s="139"/>
      <c r="T310" s="139"/>
      <c r="U310" s="139"/>
      <c r="V310" s="139"/>
      <c r="W310" s="139"/>
      <c r="X310" s="139"/>
      <c r="Y310" s="139"/>
      <c r="Z310" s="139"/>
    </row>
    <row r="311" spans="1:26" ht="86.4">
      <c r="A311" s="273">
        <v>315</v>
      </c>
      <c r="B311" s="270" t="s">
        <v>3276</v>
      </c>
      <c r="C311" s="396">
        <v>44230</v>
      </c>
      <c r="D311" s="273" t="s">
        <v>21</v>
      </c>
      <c r="E311" s="401" t="s">
        <v>3277</v>
      </c>
      <c r="F311" s="273" t="s">
        <v>21</v>
      </c>
      <c r="G311" s="139"/>
      <c r="H311" s="139"/>
      <c r="I311" s="139"/>
      <c r="J311" s="139"/>
      <c r="K311" s="139"/>
      <c r="L311" s="139"/>
      <c r="M311" s="139"/>
      <c r="N311" s="139"/>
      <c r="O311" s="139"/>
      <c r="P311" s="139"/>
      <c r="Q311" s="139"/>
      <c r="R311" s="139"/>
      <c r="S311" s="139"/>
      <c r="T311" s="139"/>
      <c r="U311" s="139"/>
      <c r="V311" s="139"/>
      <c r="W311" s="139"/>
      <c r="X311" s="139"/>
      <c r="Y311" s="139"/>
      <c r="Z311" s="139"/>
    </row>
    <row r="312" spans="1:26" ht="33.75" customHeight="1">
      <c r="A312" s="273">
        <v>316</v>
      </c>
      <c r="B312" s="271" t="s">
        <v>3278</v>
      </c>
      <c r="C312" s="396">
        <v>44245</v>
      </c>
      <c r="D312" s="273" t="s">
        <v>21</v>
      </c>
      <c r="E312" s="401" t="s">
        <v>3279</v>
      </c>
      <c r="F312" s="273" t="s">
        <v>21</v>
      </c>
      <c r="G312" s="139"/>
      <c r="H312" s="139"/>
      <c r="I312" s="139"/>
      <c r="J312" s="139"/>
      <c r="K312" s="139"/>
      <c r="L312" s="139"/>
      <c r="M312" s="139"/>
      <c r="N312" s="139"/>
      <c r="O312" s="139"/>
      <c r="P312" s="139"/>
      <c r="Q312" s="139"/>
      <c r="R312" s="139"/>
      <c r="S312" s="139"/>
      <c r="T312" s="139"/>
      <c r="U312" s="139"/>
      <c r="V312" s="139"/>
      <c r="W312" s="139"/>
      <c r="X312" s="139"/>
      <c r="Y312" s="139"/>
      <c r="Z312" s="139"/>
    </row>
    <row r="313" spans="1:26" ht="33.75" customHeight="1">
      <c r="A313" s="273">
        <v>317</v>
      </c>
      <c r="B313" s="271" t="s">
        <v>3280</v>
      </c>
      <c r="C313" s="396">
        <v>44252</v>
      </c>
      <c r="D313" s="273" t="s">
        <v>21</v>
      </c>
      <c r="E313" s="401" t="s">
        <v>3281</v>
      </c>
      <c r="F313" s="273" t="s">
        <v>21</v>
      </c>
      <c r="G313" s="139"/>
      <c r="H313" s="139"/>
      <c r="I313" s="139"/>
      <c r="J313" s="139"/>
      <c r="K313" s="139"/>
      <c r="L313" s="139"/>
      <c r="M313" s="139"/>
      <c r="N313" s="139"/>
      <c r="O313" s="139"/>
      <c r="P313" s="139"/>
      <c r="Q313" s="139"/>
      <c r="R313" s="139"/>
      <c r="S313" s="139"/>
      <c r="T313" s="139"/>
      <c r="U313" s="139"/>
      <c r="V313" s="139"/>
      <c r="W313" s="139"/>
      <c r="X313" s="139"/>
      <c r="Y313" s="139"/>
      <c r="Z313" s="139"/>
    </row>
    <row r="314" spans="1:26" ht="72">
      <c r="A314" s="273">
        <v>318</v>
      </c>
      <c r="B314" s="271" t="s">
        <v>3282</v>
      </c>
      <c r="C314" s="396">
        <v>44256</v>
      </c>
      <c r="D314" s="273" t="s">
        <v>21</v>
      </c>
      <c r="E314" s="401" t="s">
        <v>3283</v>
      </c>
      <c r="F314" s="273" t="s">
        <v>21</v>
      </c>
      <c r="G314" s="139"/>
      <c r="H314" s="139"/>
      <c r="I314" s="139"/>
      <c r="J314" s="139"/>
      <c r="K314" s="139"/>
      <c r="L314" s="139"/>
      <c r="M314" s="139"/>
      <c r="N314" s="139"/>
      <c r="O314" s="139"/>
      <c r="P314" s="139"/>
      <c r="Q314" s="139"/>
      <c r="R314" s="139"/>
      <c r="S314" s="139"/>
      <c r="T314" s="139"/>
      <c r="U314" s="139"/>
      <c r="V314" s="139"/>
      <c r="W314" s="139"/>
      <c r="X314" s="139"/>
      <c r="Y314" s="139"/>
      <c r="Z314" s="139"/>
    </row>
    <row r="315" spans="1:26" ht="72">
      <c r="A315" s="273">
        <v>319</v>
      </c>
      <c r="B315" s="271" t="s">
        <v>3284</v>
      </c>
      <c r="C315" s="396">
        <v>44258</v>
      </c>
      <c r="D315" s="273" t="s">
        <v>21</v>
      </c>
      <c r="E315" s="401" t="s">
        <v>3285</v>
      </c>
      <c r="F315" s="273" t="s">
        <v>21</v>
      </c>
      <c r="G315" s="139"/>
      <c r="H315" s="139"/>
      <c r="I315" s="139"/>
      <c r="J315" s="139"/>
      <c r="K315" s="139"/>
      <c r="L315" s="139"/>
      <c r="M315" s="139"/>
      <c r="N315" s="139"/>
      <c r="O315" s="139"/>
      <c r="P315" s="139"/>
      <c r="Q315" s="139"/>
      <c r="R315" s="139"/>
      <c r="S315" s="139"/>
      <c r="T315" s="139"/>
      <c r="U315" s="139"/>
      <c r="V315" s="139"/>
      <c r="W315" s="139"/>
      <c r="X315" s="139"/>
      <c r="Y315" s="139"/>
      <c r="Z315" s="139"/>
    </row>
    <row r="316" spans="1:26" ht="33.75" customHeight="1">
      <c r="A316" s="273">
        <v>320</v>
      </c>
      <c r="B316" s="271" t="s">
        <v>3286</v>
      </c>
      <c r="C316" s="396">
        <v>44260</v>
      </c>
      <c r="D316" s="273" t="s">
        <v>21</v>
      </c>
      <c r="E316" s="401" t="s">
        <v>3287</v>
      </c>
      <c r="F316" s="273" t="s">
        <v>21</v>
      </c>
      <c r="G316" s="139"/>
      <c r="H316" s="139"/>
      <c r="I316" s="139"/>
      <c r="J316" s="139"/>
      <c r="K316" s="139"/>
      <c r="L316" s="139"/>
      <c r="M316" s="139"/>
      <c r="N316" s="139"/>
      <c r="O316" s="139"/>
      <c r="P316" s="139"/>
      <c r="Q316" s="139"/>
      <c r="R316" s="139"/>
      <c r="S316" s="139"/>
      <c r="T316" s="139"/>
      <c r="U316" s="139"/>
      <c r="V316" s="139"/>
      <c r="W316" s="139"/>
      <c r="X316" s="139"/>
      <c r="Y316" s="139"/>
      <c r="Z316" s="139"/>
    </row>
    <row r="317" spans="1:26" ht="33.75" customHeight="1">
      <c r="A317" s="273">
        <v>321</v>
      </c>
      <c r="B317" s="271" t="s">
        <v>3288</v>
      </c>
      <c r="C317" s="396">
        <v>44273</v>
      </c>
      <c r="D317" s="273" t="s">
        <v>21</v>
      </c>
      <c r="E317" s="401" t="s">
        <v>3289</v>
      </c>
      <c r="F317" s="273" t="s">
        <v>21</v>
      </c>
      <c r="G317" s="139"/>
      <c r="H317" s="139"/>
      <c r="I317" s="139"/>
      <c r="J317" s="139"/>
      <c r="K317" s="139"/>
      <c r="L317" s="139"/>
      <c r="M317" s="139"/>
      <c r="N317" s="139"/>
      <c r="O317" s="139"/>
      <c r="P317" s="139"/>
      <c r="Q317" s="139"/>
      <c r="R317" s="139"/>
      <c r="S317" s="139"/>
      <c r="T317" s="139"/>
      <c r="U317" s="139"/>
      <c r="V317" s="139"/>
      <c r="W317" s="139"/>
      <c r="X317" s="139"/>
      <c r="Y317" s="139"/>
      <c r="Z317" s="139"/>
    </row>
    <row r="318" spans="1:26" ht="33.75" customHeight="1">
      <c r="A318" s="273">
        <v>322</v>
      </c>
      <c r="B318" s="271" t="s">
        <v>3290</v>
      </c>
      <c r="C318" s="396">
        <v>44286</v>
      </c>
      <c r="D318" s="273" t="s">
        <v>21</v>
      </c>
      <c r="E318" s="401" t="s">
        <v>3291</v>
      </c>
      <c r="F318" s="273" t="s">
        <v>21</v>
      </c>
      <c r="G318" s="139"/>
      <c r="H318" s="139"/>
      <c r="I318" s="139"/>
      <c r="J318" s="139"/>
      <c r="K318" s="139"/>
      <c r="L318" s="139"/>
      <c r="M318" s="139"/>
      <c r="N318" s="139"/>
      <c r="O318" s="139"/>
      <c r="P318" s="139"/>
      <c r="Q318" s="139"/>
      <c r="R318" s="139"/>
      <c r="S318" s="139"/>
      <c r="T318" s="139"/>
      <c r="U318" s="139"/>
      <c r="V318" s="139"/>
      <c r="W318" s="139"/>
      <c r="X318" s="139"/>
      <c r="Y318" s="139"/>
      <c r="Z318" s="139"/>
    </row>
    <row r="319" spans="1:26" ht="33.75" customHeight="1">
      <c r="A319" s="273">
        <v>323</v>
      </c>
      <c r="B319" s="271" t="s">
        <v>3292</v>
      </c>
      <c r="C319" s="396">
        <v>44286</v>
      </c>
      <c r="D319" s="273" t="s">
        <v>21</v>
      </c>
      <c r="E319" s="401" t="s">
        <v>3293</v>
      </c>
      <c r="F319" s="273" t="s">
        <v>21</v>
      </c>
      <c r="G319" s="139"/>
      <c r="H319" s="139"/>
      <c r="I319" s="139"/>
      <c r="J319" s="139"/>
      <c r="K319" s="139"/>
      <c r="L319" s="139"/>
      <c r="M319" s="139"/>
      <c r="N319" s="139"/>
      <c r="O319" s="139"/>
      <c r="P319" s="139"/>
      <c r="Q319" s="139"/>
      <c r="R319" s="139"/>
      <c r="S319" s="139"/>
      <c r="T319" s="139"/>
      <c r="U319" s="139"/>
      <c r="V319" s="139"/>
      <c r="W319" s="139"/>
      <c r="X319" s="139"/>
      <c r="Y319" s="139"/>
      <c r="Z319" s="139"/>
    </row>
    <row r="320" spans="1:26" ht="33.75" customHeight="1">
      <c r="A320" s="273">
        <v>324</v>
      </c>
      <c r="B320" s="271" t="s">
        <v>3294</v>
      </c>
      <c r="C320" s="396">
        <v>44291</v>
      </c>
      <c r="D320" s="273" t="s">
        <v>21</v>
      </c>
      <c r="E320" s="401" t="s">
        <v>3295</v>
      </c>
      <c r="F320" s="273" t="s">
        <v>21</v>
      </c>
      <c r="G320" s="139"/>
      <c r="H320" s="139"/>
      <c r="I320" s="139"/>
      <c r="J320" s="139"/>
      <c r="K320" s="139"/>
      <c r="L320" s="139"/>
      <c r="M320" s="139"/>
      <c r="N320" s="139"/>
      <c r="O320" s="139"/>
      <c r="P320" s="139"/>
      <c r="Q320" s="139"/>
      <c r="R320" s="139"/>
      <c r="S320" s="139"/>
      <c r="T320" s="139"/>
      <c r="U320" s="139"/>
      <c r="V320" s="139"/>
      <c r="W320" s="139"/>
      <c r="X320" s="139"/>
      <c r="Y320" s="139"/>
      <c r="Z320" s="139"/>
    </row>
    <row r="321" spans="1:26" ht="33.75" customHeight="1">
      <c r="A321" s="273">
        <v>325</v>
      </c>
      <c r="B321" s="271" t="s">
        <v>3296</v>
      </c>
      <c r="C321" s="396">
        <v>44299</v>
      </c>
      <c r="D321" s="272" t="s">
        <v>3297</v>
      </c>
      <c r="E321" s="401" t="s">
        <v>3298</v>
      </c>
      <c r="F321" s="273" t="s">
        <v>2832</v>
      </c>
      <c r="G321" s="139"/>
      <c r="H321" s="139"/>
      <c r="I321" s="139"/>
      <c r="J321" s="139"/>
      <c r="K321" s="139"/>
      <c r="L321" s="139"/>
      <c r="M321" s="139"/>
      <c r="N321" s="139"/>
      <c r="O321" s="139"/>
      <c r="P321" s="139"/>
      <c r="Q321" s="139"/>
      <c r="R321" s="139"/>
      <c r="S321" s="139"/>
      <c r="T321" s="139"/>
      <c r="U321" s="139"/>
      <c r="V321" s="139"/>
      <c r="W321" s="139"/>
      <c r="X321" s="139"/>
      <c r="Y321" s="139"/>
      <c r="Z321" s="139"/>
    </row>
    <row r="322" spans="1:26" ht="33.75" customHeight="1">
      <c r="A322" s="273">
        <v>326</v>
      </c>
      <c r="B322" s="271" t="s">
        <v>3299</v>
      </c>
      <c r="C322" s="396">
        <v>44307</v>
      </c>
      <c r="D322" s="272" t="s">
        <v>3297</v>
      </c>
      <c r="E322" s="401" t="s">
        <v>3300</v>
      </c>
      <c r="F322" s="273" t="s">
        <v>3301</v>
      </c>
      <c r="G322" s="139"/>
      <c r="H322" s="139"/>
      <c r="I322" s="139"/>
      <c r="J322" s="139"/>
      <c r="K322" s="139"/>
      <c r="L322" s="139"/>
      <c r="M322" s="139"/>
      <c r="N322" s="139"/>
      <c r="O322" s="139"/>
      <c r="P322" s="139"/>
      <c r="Q322" s="139"/>
      <c r="R322" s="139"/>
      <c r="S322" s="139"/>
      <c r="T322" s="139"/>
      <c r="U322" s="139"/>
      <c r="V322" s="139"/>
      <c r="W322" s="139"/>
      <c r="X322" s="139"/>
      <c r="Y322" s="139"/>
      <c r="Z322" s="139"/>
    </row>
    <row r="323" spans="1:26" ht="33.75" customHeight="1">
      <c r="A323" s="273">
        <v>327</v>
      </c>
      <c r="B323" s="271" t="s">
        <v>3302</v>
      </c>
      <c r="C323" s="396">
        <v>44334</v>
      </c>
      <c r="D323" s="272" t="s">
        <v>3297</v>
      </c>
      <c r="E323" s="401" t="s">
        <v>3303</v>
      </c>
      <c r="F323" s="273" t="s">
        <v>3304</v>
      </c>
      <c r="G323" s="88"/>
      <c r="H323" s="88"/>
      <c r="I323" s="88"/>
      <c r="J323" s="88"/>
      <c r="K323" s="88"/>
      <c r="L323" s="88"/>
      <c r="M323" s="88"/>
      <c r="N323" s="88"/>
      <c r="O323" s="88"/>
      <c r="P323" s="88"/>
      <c r="Q323" s="88"/>
      <c r="R323" s="88"/>
      <c r="S323" s="88"/>
      <c r="T323" s="88"/>
      <c r="U323" s="88"/>
      <c r="V323" s="88"/>
      <c r="W323" s="88"/>
      <c r="X323" s="88"/>
      <c r="Y323" s="88"/>
      <c r="Z323" s="88"/>
    </row>
    <row r="324" spans="1:26" ht="33.75" customHeight="1">
      <c r="A324" s="273">
        <v>328</v>
      </c>
      <c r="B324" s="271" t="s">
        <v>3305</v>
      </c>
      <c r="C324" s="396">
        <v>44357</v>
      </c>
      <c r="D324" s="273" t="s">
        <v>21</v>
      </c>
      <c r="E324" s="401" t="s">
        <v>3306</v>
      </c>
      <c r="F324" s="273" t="s">
        <v>21</v>
      </c>
      <c r="G324" s="139"/>
      <c r="H324" s="139"/>
      <c r="I324" s="139"/>
      <c r="J324" s="139"/>
      <c r="K324" s="139"/>
      <c r="L324" s="139"/>
      <c r="M324" s="139"/>
      <c r="N324" s="139"/>
      <c r="O324" s="139"/>
      <c r="P324" s="139"/>
      <c r="Q324" s="139"/>
      <c r="R324" s="139"/>
      <c r="S324" s="139"/>
      <c r="T324" s="139"/>
      <c r="U324" s="139"/>
      <c r="V324" s="139"/>
      <c r="W324" s="139"/>
      <c r="X324" s="139"/>
      <c r="Y324" s="139"/>
      <c r="Z324" s="139"/>
    </row>
    <row r="325" spans="1:26" ht="33.75" customHeight="1">
      <c r="A325" s="273">
        <v>329</v>
      </c>
      <c r="B325" s="271" t="s">
        <v>3307</v>
      </c>
      <c r="C325" s="396">
        <v>44365</v>
      </c>
      <c r="D325" s="272" t="s">
        <v>3297</v>
      </c>
      <c r="E325" s="401" t="s">
        <v>3308</v>
      </c>
      <c r="F325" s="404" t="s">
        <v>3309</v>
      </c>
      <c r="G325" s="139"/>
      <c r="H325" s="139"/>
      <c r="I325" s="139"/>
      <c r="J325" s="139"/>
      <c r="K325" s="139"/>
      <c r="L325" s="139"/>
      <c r="M325" s="139"/>
      <c r="N325" s="139"/>
      <c r="O325" s="139"/>
      <c r="P325" s="139"/>
      <c r="Q325" s="139"/>
      <c r="R325" s="139"/>
      <c r="S325" s="139"/>
      <c r="T325" s="139"/>
      <c r="U325" s="139"/>
      <c r="V325" s="139"/>
      <c r="W325" s="139"/>
      <c r="X325" s="139"/>
      <c r="Y325" s="139"/>
      <c r="Z325" s="139"/>
    </row>
    <row r="326" spans="1:26" ht="43.5" customHeight="1">
      <c r="A326" s="273">
        <v>330</v>
      </c>
      <c r="B326" s="270" t="s">
        <v>3310</v>
      </c>
      <c r="C326" s="396">
        <v>44370</v>
      </c>
      <c r="D326" s="273" t="s">
        <v>21</v>
      </c>
      <c r="E326" s="401" t="s">
        <v>3311</v>
      </c>
      <c r="F326" s="273" t="s">
        <v>21</v>
      </c>
      <c r="G326" s="139"/>
      <c r="H326" s="139"/>
      <c r="I326" s="139"/>
      <c r="J326" s="139"/>
      <c r="K326" s="139"/>
      <c r="L326" s="139"/>
      <c r="M326" s="139"/>
      <c r="N326" s="139"/>
      <c r="O326" s="139"/>
      <c r="P326" s="139"/>
      <c r="Q326" s="139"/>
      <c r="R326" s="139"/>
      <c r="S326" s="139"/>
      <c r="T326" s="139"/>
      <c r="U326" s="139"/>
      <c r="V326" s="139"/>
      <c r="W326" s="139"/>
      <c r="X326" s="139"/>
      <c r="Y326" s="139"/>
      <c r="Z326" s="139"/>
    </row>
    <row r="327" spans="1:26" ht="33.75" customHeight="1">
      <c r="A327" s="273">
        <v>331</v>
      </c>
      <c r="B327" s="270" t="s">
        <v>3312</v>
      </c>
      <c r="C327" s="396">
        <v>44377</v>
      </c>
      <c r="D327" s="273" t="s">
        <v>21</v>
      </c>
      <c r="E327" s="401" t="s">
        <v>3313</v>
      </c>
      <c r="F327" s="272" t="s">
        <v>2037</v>
      </c>
      <c r="G327" s="139"/>
      <c r="H327" s="139"/>
      <c r="I327" s="139"/>
      <c r="J327" s="139"/>
      <c r="K327" s="139"/>
      <c r="L327" s="139"/>
      <c r="M327" s="139"/>
      <c r="N327" s="139"/>
      <c r="O327" s="139"/>
      <c r="P327" s="139"/>
      <c r="Q327" s="139"/>
      <c r="R327" s="139"/>
      <c r="S327" s="139"/>
      <c r="T327" s="139"/>
      <c r="U327" s="139"/>
      <c r="V327" s="139"/>
      <c r="W327" s="139"/>
      <c r="X327" s="139"/>
      <c r="Y327" s="139"/>
      <c r="Z327" s="139"/>
    </row>
    <row r="328" spans="1:26" ht="115.2">
      <c r="A328" s="273">
        <v>332</v>
      </c>
      <c r="B328" s="270" t="s">
        <v>3314</v>
      </c>
      <c r="C328" s="396">
        <v>44417</v>
      </c>
      <c r="D328" s="273" t="s">
        <v>21</v>
      </c>
      <c r="E328" s="401" t="s">
        <v>3315</v>
      </c>
      <c r="F328" s="273" t="s">
        <v>21</v>
      </c>
      <c r="G328" s="139"/>
      <c r="H328" s="139"/>
      <c r="I328" s="139"/>
      <c r="J328" s="139"/>
      <c r="K328" s="139"/>
      <c r="L328" s="139"/>
      <c r="M328" s="139"/>
      <c r="N328" s="139"/>
      <c r="O328" s="139"/>
      <c r="P328" s="139"/>
      <c r="Q328" s="139"/>
      <c r="R328" s="139"/>
      <c r="S328" s="139"/>
      <c r="T328" s="139"/>
      <c r="U328" s="139"/>
      <c r="V328" s="139"/>
      <c r="W328" s="139"/>
      <c r="X328" s="139"/>
      <c r="Y328" s="139"/>
      <c r="Z328" s="139"/>
    </row>
    <row r="329" spans="1:26" ht="115.2">
      <c r="A329" s="273">
        <v>333</v>
      </c>
      <c r="B329" s="270" t="s">
        <v>3316</v>
      </c>
      <c r="C329" s="396">
        <v>44419</v>
      </c>
      <c r="D329" s="273" t="s">
        <v>21</v>
      </c>
      <c r="E329" s="273" t="s">
        <v>3317</v>
      </c>
      <c r="F329" s="273" t="s">
        <v>21</v>
      </c>
      <c r="G329" s="139"/>
      <c r="H329" s="139"/>
      <c r="I329" s="139"/>
      <c r="J329" s="139"/>
      <c r="K329" s="139"/>
      <c r="L329" s="139"/>
      <c r="M329" s="139"/>
      <c r="N329" s="139"/>
      <c r="O329" s="139"/>
      <c r="P329" s="139"/>
      <c r="Q329" s="139"/>
      <c r="R329" s="139"/>
      <c r="S329" s="139"/>
      <c r="T329" s="139"/>
      <c r="U329" s="139"/>
      <c r="V329" s="139"/>
      <c r="W329" s="139"/>
      <c r="X329" s="139"/>
      <c r="Y329" s="139"/>
      <c r="Z329" s="139"/>
    </row>
    <row r="330" spans="1:26" ht="115.2">
      <c r="A330" s="273">
        <v>334</v>
      </c>
      <c r="B330" s="270" t="s">
        <v>3318</v>
      </c>
      <c r="C330" s="396">
        <v>44424</v>
      </c>
      <c r="D330" s="273" t="s">
        <v>21</v>
      </c>
      <c r="E330" s="401" t="s">
        <v>3319</v>
      </c>
      <c r="F330" s="273" t="s">
        <v>21</v>
      </c>
      <c r="G330" s="139"/>
      <c r="H330" s="139"/>
      <c r="I330" s="139"/>
      <c r="J330" s="139"/>
      <c r="K330" s="139"/>
      <c r="L330" s="139"/>
      <c r="M330" s="139"/>
      <c r="N330" s="139"/>
      <c r="O330" s="139"/>
      <c r="P330" s="139"/>
      <c r="Q330" s="139"/>
      <c r="R330" s="139"/>
      <c r="S330" s="139"/>
      <c r="T330" s="139"/>
      <c r="U330" s="139"/>
      <c r="V330" s="139"/>
      <c r="W330" s="139"/>
      <c r="X330" s="139"/>
      <c r="Y330" s="139"/>
      <c r="Z330" s="139"/>
    </row>
    <row r="331" spans="1:26" ht="115.2">
      <c r="A331" s="273">
        <v>335</v>
      </c>
      <c r="B331" s="270" t="s">
        <v>3320</v>
      </c>
      <c r="C331" s="396">
        <v>44426</v>
      </c>
      <c r="D331" s="273" t="s">
        <v>21</v>
      </c>
      <c r="E331" s="401" t="s">
        <v>3321</v>
      </c>
      <c r="F331" s="273" t="s">
        <v>21</v>
      </c>
      <c r="G331" s="139"/>
      <c r="H331" s="139"/>
      <c r="I331" s="139"/>
      <c r="J331" s="139"/>
      <c r="K331" s="139"/>
      <c r="L331" s="139"/>
      <c r="M331" s="139"/>
      <c r="N331" s="139"/>
      <c r="O331" s="139"/>
      <c r="P331" s="139"/>
      <c r="Q331" s="139"/>
      <c r="R331" s="139"/>
      <c r="S331" s="139"/>
      <c r="T331" s="139"/>
      <c r="U331" s="139"/>
      <c r="V331" s="139"/>
      <c r="W331" s="139"/>
      <c r="X331" s="139"/>
      <c r="Y331" s="139"/>
      <c r="Z331" s="139"/>
    </row>
    <row r="332" spans="1:26" ht="115.2">
      <c r="A332" s="273">
        <v>336</v>
      </c>
      <c r="B332" s="270" t="s">
        <v>3322</v>
      </c>
      <c r="C332" s="396">
        <v>44431</v>
      </c>
      <c r="D332" s="273" t="s">
        <v>21</v>
      </c>
      <c r="E332" s="401" t="s">
        <v>3323</v>
      </c>
      <c r="F332" s="273" t="s">
        <v>21</v>
      </c>
      <c r="G332" s="139"/>
      <c r="H332" s="139"/>
      <c r="I332" s="139"/>
      <c r="J332" s="139"/>
      <c r="K332" s="139"/>
      <c r="L332" s="139"/>
      <c r="M332" s="139"/>
      <c r="N332" s="139"/>
      <c r="O332" s="139"/>
      <c r="P332" s="139"/>
      <c r="Q332" s="139"/>
      <c r="R332" s="139"/>
      <c r="S332" s="139"/>
      <c r="T332" s="139"/>
      <c r="U332" s="139"/>
      <c r="V332" s="139"/>
      <c r="W332" s="139"/>
      <c r="X332" s="139"/>
      <c r="Y332" s="139"/>
      <c r="Z332" s="139"/>
    </row>
    <row r="333" spans="1:26" ht="57.6">
      <c r="A333" s="312">
        <v>337</v>
      </c>
      <c r="B333" s="271" t="s">
        <v>3324</v>
      </c>
      <c r="C333" s="396">
        <v>44470</v>
      </c>
      <c r="D333" s="273" t="s">
        <v>21</v>
      </c>
      <c r="E333" s="401" t="s">
        <v>3325</v>
      </c>
      <c r="F333" s="273" t="s">
        <v>21</v>
      </c>
      <c r="G333" s="139"/>
      <c r="H333" s="139"/>
      <c r="I333" s="139"/>
      <c r="J333" s="139"/>
      <c r="K333" s="139"/>
      <c r="L333" s="139"/>
      <c r="M333" s="139"/>
      <c r="N333" s="139"/>
      <c r="O333" s="139"/>
      <c r="P333" s="139"/>
      <c r="Q333" s="139"/>
      <c r="R333" s="139"/>
      <c r="S333" s="139"/>
      <c r="T333" s="139"/>
      <c r="U333" s="139"/>
      <c r="V333" s="139"/>
      <c r="W333" s="139"/>
      <c r="X333" s="139"/>
      <c r="Y333" s="139"/>
      <c r="Z333" s="139"/>
    </row>
    <row r="334" spans="1:26" ht="57.6">
      <c r="A334" s="273">
        <v>338</v>
      </c>
      <c r="B334" s="271" t="s">
        <v>912</v>
      </c>
      <c r="C334" s="396">
        <v>44473</v>
      </c>
      <c r="D334" s="273" t="s">
        <v>21</v>
      </c>
      <c r="E334" s="401" t="s">
        <v>3326</v>
      </c>
      <c r="F334" s="273" t="s">
        <v>21</v>
      </c>
      <c r="G334" s="139"/>
      <c r="H334" s="139"/>
      <c r="I334" s="139"/>
      <c r="J334" s="139"/>
      <c r="K334" s="139"/>
      <c r="L334" s="139"/>
      <c r="M334" s="139"/>
      <c r="N334" s="139"/>
      <c r="O334" s="139"/>
      <c r="P334" s="139"/>
      <c r="Q334" s="139"/>
      <c r="R334" s="139"/>
      <c r="S334" s="139"/>
      <c r="T334" s="139"/>
      <c r="U334" s="139"/>
      <c r="V334" s="139"/>
      <c r="W334" s="139"/>
      <c r="X334" s="139"/>
      <c r="Y334" s="139"/>
      <c r="Z334" s="139"/>
    </row>
    <row r="335" spans="1:26" ht="57.6">
      <c r="A335" s="273">
        <v>339</v>
      </c>
      <c r="B335" s="271" t="s">
        <v>3327</v>
      </c>
      <c r="C335" s="396">
        <v>44475</v>
      </c>
      <c r="D335" s="273" t="s">
        <v>21</v>
      </c>
      <c r="E335" s="401" t="s">
        <v>3328</v>
      </c>
      <c r="F335" s="273" t="s">
        <v>21</v>
      </c>
      <c r="G335" s="139"/>
      <c r="H335" s="139"/>
      <c r="I335" s="139"/>
      <c r="J335" s="139"/>
      <c r="K335" s="139"/>
      <c r="L335" s="139"/>
      <c r="M335" s="139"/>
      <c r="N335" s="139"/>
      <c r="O335" s="139"/>
      <c r="P335" s="139"/>
      <c r="Q335" s="139"/>
      <c r="R335" s="139"/>
      <c r="S335" s="139"/>
      <c r="T335" s="139"/>
      <c r="U335" s="139"/>
      <c r="V335" s="139"/>
      <c r="W335" s="139"/>
      <c r="X335" s="139"/>
      <c r="Y335" s="139"/>
      <c r="Z335" s="139"/>
    </row>
    <row r="336" spans="1:26" ht="57.6">
      <c r="A336" s="273">
        <v>340</v>
      </c>
      <c r="B336" s="271" t="s">
        <v>3329</v>
      </c>
      <c r="C336" s="396">
        <v>44477</v>
      </c>
      <c r="D336" s="273" t="s">
        <v>21</v>
      </c>
      <c r="E336" s="401" t="s">
        <v>3330</v>
      </c>
      <c r="F336" s="273" t="s">
        <v>21</v>
      </c>
      <c r="G336" s="139"/>
      <c r="H336" s="139"/>
      <c r="I336" s="139"/>
      <c r="J336" s="139"/>
      <c r="K336" s="139"/>
      <c r="L336" s="139"/>
      <c r="M336" s="139"/>
      <c r="N336" s="139"/>
      <c r="O336" s="139"/>
      <c r="P336" s="139"/>
      <c r="Q336" s="139"/>
      <c r="R336" s="139"/>
      <c r="S336" s="139"/>
      <c r="T336" s="139"/>
      <c r="U336" s="139"/>
      <c r="V336" s="139"/>
      <c r="W336" s="139"/>
      <c r="X336" s="139"/>
      <c r="Y336" s="139"/>
      <c r="Z336" s="139"/>
    </row>
    <row r="337" spans="1:26" ht="57.6">
      <c r="A337" s="273">
        <v>341</v>
      </c>
      <c r="B337" s="271" t="s">
        <v>3331</v>
      </c>
      <c r="C337" s="396">
        <v>44481</v>
      </c>
      <c r="D337" s="273" t="s">
        <v>21</v>
      </c>
      <c r="E337" s="401" t="s">
        <v>3332</v>
      </c>
      <c r="F337" s="273" t="s">
        <v>21</v>
      </c>
      <c r="G337" s="139"/>
      <c r="H337" s="139"/>
      <c r="I337" s="139"/>
      <c r="J337" s="139"/>
      <c r="K337" s="139"/>
      <c r="L337" s="139"/>
      <c r="M337" s="139"/>
      <c r="N337" s="139"/>
      <c r="O337" s="139"/>
      <c r="P337" s="139"/>
      <c r="Q337" s="139"/>
      <c r="R337" s="139"/>
      <c r="S337" s="139"/>
      <c r="T337" s="139"/>
      <c r="U337" s="139"/>
      <c r="V337" s="139"/>
      <c r="W337" s="139"/>
      <c r="X337" s="139"/>
      <c r="Y337" s="139"/>
      <c r="Z337" s="139"/>
    </row>
    <row r="338" spans="1:26" ht="57.6">
      <c r="A338" s="273">
        <v>342</v>
      </c>
      <c r="B338" s="271" t="s">
        <v>919</v>
      </c>
      <c r="C338" s="396">
        <v>44483</v>
      </c>
      <c r="D338" s="273" t="s">
        <v>21</v>
      </c>
      <c r="E338" s="401" t="s">
        <v>3328</v>
      </c>
      <c r="F338" s="273" t="s">
        <v>21</v>
      </c>
      <c r="G338" s="139"/>
      <c r="H338" s="139"/>
      <c r="I338" s="139"/>
      <c r="J338" s="139"/>
      <c r="K338" s="139"/>
      <c r="L338" s="139"/>
      <c r="M338" s="139"/>
      <c r="N338" s="139"/>
      <c r="O338" s="139"/>
      <c r="P338" s="139"/>
      <c r="Q338" s="139"/>
      <c r="R338" s="139"/>
      <c r="S338" s="139"/>
      <c r="T338" s="139"/>
      <c r="U338" s="139"/>
      <c r="V338" s="139"/>
      <c r="W338" s="139"/>
      <c r="X338" s="139"/>
      <c r="Y338" s="139"/>
      <c r="Z338" s="139"/>
    </row>
    <row r="339" spans="1:26" ht="86.4">
      <c r="A339" s="273">
        <v>343</v>
      </c>
      <c r="B339" s="89" t="s">
        <v>3333</v>
      </c>
      <c r="C339" s="396">
        <v>44586</v>
      </c>
      <c r="D339" s="273" t="s">
        <v>21</v>
      </c>
      <c r="E339" s="273" t="s">
        <v>3334</v>
      </c>
      <c r="F339" s="273" t="s">
        <v>21</v>
      </c>
      <c r="G339" s="139"/>
      <c r="H339" s="139"/>
      <c r="I339" s="139"/>
      <c r="J339" s="139"/>
      <c r="K339" s="139"/>
      <c r="L339" s="139"/>
      <c r="M339" s="139"/>
      <c r="N339" s="139"/>
      <c r="O339" s="139"/>
      <c r="P339" s="139"/>
      <c r="Q339" s="139"/>
      <c r="R339" s="139"/>
      <c r="S339" s="139"/>
      <c r="T339" s="139"/>
      <c r="U339" s="139"/>
      <c r="V339" s="139"/>
      <c r="W339" s="139"/>
      <c r="X339" s="139"/>
      <c r="Y339" s="139"/>
      <c r="Z339" s="139"/>
    </row>
    <row r="340" spans="1:26" ht="86.4">
      <c r="A340" s="273">
        <v>344</v>
      </c>
      <c r="B340" s="89" t="s">
        <v>3335</v>
      </c>
      <c r="C340" s="396">
        <v>44589</v>
      </c>
      <c r="D340" s="273" t="s">
        <v>21</v>
      </c>
      <c r="E340" s="273" t="s">
        <v>3336</v>
      </c>
      <c r="F340" s="273" t="s">
        <v>21</v>
      </c>
      <c r="G340" s="139"/>
      <c r="H340" s="139"/>
      <c r="I340" s="139"/>
      <c r="J340" s="139"/>
      <c r="K340" s="139"/>
      <c r="L340" s="139"/>
      <c r="M340" s="139"/>
      <c r="N340" s="139"/>
      <c r="O340" s="139"/>
      <c r="P340" s="139"/>
      <c r="Q340" s="139"/>
      <c r="R340" s="139"/>
      <c r="S340" s="139"/>
      <c r="T340" s="139"/>
      <c r="U340" s="139"/>
      <c r="V340" s="139"/>
      <c r="W340" s="139"/>
      <c r="X340" s="139"/>
      <c r="Y340" s="139"/>
      <c r="Z340" s="139"/>
    </row>
    <row r="341" spans="1:26" ht="86.4">
      <c r="A341" s="273">
        <v>345</v>
      </c>
      <c r="B341" s="89" t="s">
        <v>3337</v>
      </c>
      <c r="C341" s="396">
        <v>44592</v>
      </c>
      <c r="D341" s="273" t="s">
        <v>21</v>
      </c>
      <c r="E341" s="273" t="s">
        <v>3338</v>
      </c>
      <c r="F341" s="273" t="s">
        <v>21</v>
      </c>
      <c r="G341" s="139"/>
      <c r="H341" s="139"/>
      <c r="I341" s="139"/>
      <c r="J341" s="139"/>
      <c r="K341" s="139"/>
      <c r="L341" s="139"/>
      <c r="M341" s="139"/>
      <c r="N341" s="139"/>
      <c r="O341" s="139"/>
      <c r="P341" s="139"/>
      <c r="Q341" s="139"/>
      <c r="R341" s="139"/>
      <c r="S341" s="139"/>
      <c r="T341" s="139"/>
      <c r="U341" s="139"/>
      <c r="V341" s="139"/>
      <c r="W341" s="139"/>
      <c r="X341" s="139"/>
      <c r="Y341" s="139"/>
      <c r="Z341" s="139"/>
    </row>
    <row r="342" spans="1:26" ht="86.4">
      <c r="A342" s="273">
        <v>346</v>
      </c>
      <c r="B342" s="89" t="s">
        <v>3339</v>
      </c>
      <c r="C342" s="396">
        <v>44593</v>
      </c>
      <c r="D342" s="273" t="s">
        <v>21</v>
      </c>
      <c r="E342" s="273" t="s">
        <v>3340</v>
      </c>
      <c r="F342" s="273" t="s">
        <v>21</v>
      </c>
      <c r="G342" s="139"/>
      <c r="H342" s="139"/>
      <c r="I342" s="139"/>
      <c r="J342" s="139"/>
      <c r="K342" s="139"/>
      <c r="L342" s="139"/>
      <c r="M342" s="139"/>
      <c r="N342" s="139"/>
      <c r="O342" s="139"/>
      <c r="P342" s="139"/>
      <c r="Q342" s="139"/>
      <c r="R342" s="139"/>
      <c r="S342" s="139"/>
      <c r="T342" s="139"/>
      <c r="U342" s="139"/>
      <c r="V342" s="139"/>
      <c r="W342" s="139"/>
      <c r="X342" s="139"/>
      <c r="Y342" s="139"/>
      <c r="Z342" s="139"/>
    </row>
    <row r="343" spans="1:26" s="39" customFormat="1" ht="72">
      <c r="A343" s="273">
        <v>347</v>
      </c>
      <c r="B343" s="89" t="s">
        <v>3341</v>
      </c>
      <c r="C343" s="396">
        <v>44672</v>
      </c>
      <c r="D343" s="273" t="s">
        <v>21</v>
      </c>
      <c r="E343" s="273" t="s">
        <v>3342</v>
      </c>
      <c r="F343" s="273" t="s">
        <v>21</v>
      </c>
      <c r="G343" s="139"/>
      <c r="H343" s="139"/>
      <c r="I343" s="139"/>
      <c r="J343" s="139"/>
      <c r="K343" s="139"/>
      <c r="L343" s="139"/>
      <c r="M343" s="139"/>
      <c r="N343" s="139"/>
      <c r="O343" s="139"/>
      <c r="P343" s="139"/>
      <c r="Q343" s="139"/>
      <c r="R343" s="139"/>
      <c r="S343" s="139"/>
      <c r="T343" s="139"/>
      <c r="U343" s="139"/>
      <c r="V343" s="139"/>
      <c r="W343" s="139"/>
      <c r="X343" s="139"/>
      <c r="Y343" s="139"/>
      <c r="Z343" s="139"/>
    </row>
    <row r="344" spans="1:26" s="39" customFormat="1" ht="100.8">
      <c r="A344" s="273">
        <v>348</v>
      </c>
      <c r="B344" s="89" t="s">
        <v>3343</v>
      </c>
      <c r="C344" s="396">
        <v>44686</v>
      </c>
      <c r="D344" s="273" t="s">
        <v>21</v>
      </c>
      <c r="E344" s="273" t="s">
        <v>3344</v>
      </c>
      <c r="F344" s="273" t="s">
        <v>21</v>
      </c>
      <c r="G344" s="139"/>
      <c r="H344" s="139"/>
      <c r="I344" s="139"/>
      <c r="J344" s="139"/>
      <c r="K344" s="139"/>
      <c r="L344" s="139"/>
      <c r="M344" s="139"/>
      <c r="N344" s="139"/>
      <c r="O344" s="139"/>
      <c r="P344" s="139"/>
      <c r="Q344" s="139"/>
      <c r="R344" s="139"/>
      <c r="S344" s="139"/>
      <c r="T344" s="139"/>
      <c r="U344" s="139"/>
      <c r="V344" s="139"/>
      <c r="W344" s="139"/>
      <c r="X344" s="139"/>
      <c r="Y344" s="139"/>
      <c r="Z344" s="139"/>
    </row>
    <row r="345" spans="1:26" s="39" customFormat="1" ht="72">
      <c r="A345" s="273">
        <v>349</v>
      </c>
      <c r="B345" s="89" t="s">
        <v>3345</v>
      </c>
      <c r="C345" s="396">
        <v>44697</v>
      </c>
      <c r="D345" s="273" t="s">
        <v>21</v>
      </c>
      <c r="E345" s="273" t="s">
        <v>3346</v>
      </c>
      <c r="F345" s="273" t="s">
        <v>21</v>
      </c>
      <c r="G345" s="139"/>
      <c r="H345" s="139"/>
      <c r="I345" s="139"/>
      <c r="J345" s="139"/>
      <c r="K345" s="139"/>
      <c r="L345" s="139"/>
      <c r="M345" s="139"/>
      <c r="N345" s="139"/>
      <c r="O345" s="139"/>
      <c r="P345" s="139"/>
      <c r="Q345" s="139"/>
      <c r="R345" s="139"/>
      <c r="S345" s="139"/>
      <c r="T345" s="139"/>
      <c r="U345" s="139"/>
      <c r="V345" s="139"/>
      <c r="W345" s="139"/>
      <c r="X345" s="139"/>
      <c r="Y345" s="139"/>
      <c r="Z345" s="139"/>
    </row>
    <row r="346" spans="1:26" s="39" customFormat="1" ht="57.6">
      <c r="A346" s="273">
        <v>350</v>
      </c>
      <c r="B346" s="89" t="s">
        <v>3347</v>
      </c>
      <c r="C346" s="396">
        <v>44697</v>
      </c>
      <c r="D346" s="273" t="s">
        <v>21</v>
      </c>
      <c r="E346" s="273" t="s">
        <v>3348</v>
      </c>
      <c r="F346" s="273" t="s">
        <v>21</v>
      </c>
      <c r="G346" s="139"/>
      <c r="H346" s="139"/>
      <c r="I346" s="139"/>
      <c r="J346" s="139"/>
      <c r="K346" s="139"/>
      <c r="L346" s="139"/>
      <c r="M346" s="139"/>
      <c r="N346" s="139"/>
      <c r="O346" s="139"/>
      <c r="P346" s="139"/>
      <c r="Q346" s="139"/>
      <c r="R346" s="139"/>
      <c r="S346" s="139"/>
      <c r="T346" s="139"/>
      <c r="U346" s="139"/>
      <c r="V346" s="139"/>
      <c r="W346" s="139"/>
      <c r="X346" s="139"/>
      <c r="Y346" s="139"/>
      <c r="Z346" s="139"/>
    </row>
    <row r="347" spans="1:26" s="39" customFormat="1" ht="43.2">
      <c r="A347" s="273">
        <v>351</v>
      </c>
      <c r="B347" s="89" t="s">
        <v>3349</v>
      </c>
      <c r="C347" s="396">
        <v>44714</v>
      </c>
      <c r="D347" s="273" t="s">
        <v>21</v>
      </c>
      <c r="E347" s="273" t="s">
        <v>3350</v>
      </c>
      <c r="F347" s="273" t="s">
        <v>21</v>
      </c>
      <c r="G347" s="139"/>
      <c r="H347" s="139"/>
      <c r="I347" s="139"/>
      <c r="J347" s="139"/>
      <c r="K347" s="139"/>
      <c r="L347" s="139"/>
      <c r="M347" s="139"/>
      <c r="N347" s="139"/>
      <c r="O347" s="139"/>
      <c r="P347" s="139"/>
      <c r="Q347" s="139"/>
      <c r="R347" s="139"/>
      <c r="S347" s="139"/>
      <c r="T347" s="139"/>
      <c r="U347" s="139"/>
      <c r="V347" s="139"/>
      <c r="W347" s="139"/>
      <c r="X347" s="139"/>
      <c r="Y347" s="139"/>
      <c r="Z347" s="139"/>
    </row>
    <row r="348" spans="1:26" s="39" customFormat="1" ht="57.6">
      <c r="A348" s="273">
        <v>352</v>
      </c>
      <c r="B348" s="89" t="s">
        <v>3351</v>
      </c>
      <c r="C348" s="396">
        <v>44755</v>
      </c>
      <c r="D348" s="273" t="s">
        <v>21</v>
      </c>
      <c r="E348" s="273" t="s">
        <v>3352</v>
      </c>
      <c r="F348" s="273" t="s">
        <v>21</v>
      </c>
      <c r="G348" s="139"/>
      <c r="H348" s="139"/>
      <c r="I348" s="139"/>
      <c r="J348" s="139"/>
      <c r="K348" s="139"/>
      <c r="L348" s="139"/>
      <c r="M348" s="139"/>
      <c r="N348" s="139"/>
      <c r="O348" s="139"/>
      <c r="P348" s="139"/>
      <c r="Q348" s="139"/>
      <c r="R348" s="139"/>
      <c r="S348" s="139"/>
      <c r="T348" s="139"/>
      <c r="U348" s="139"/>
      <c r="V348" s="139"/>
      <c r="W348" s="139"/>
      <c r="X348" s="139"/>
      <c r="Y348" s="139"/>
      <c r="Z348" s="139"/>
    </row>
    <row r="349" spans="1:26" s="39" customFormat="1" ht="72">
      <c r="A349" s="273">
        <v>353</v>
      </c>
      <c r="B349" s="89" t="s">
        <v>3353</v>
      </c>
      <c r="C349" s="396">
        <v>44789</v>
      </c>
      <c r="D349" s="273" t="s">
        <v>21</v>
      </c>
      <c r="E349" s="273" t="s">
        <v>3354</v>
      </c>
      <c r="F349" s="273" t="s">
        <v>3355</v>
      </c>
      <c r="G349" s="139"/>
      <c r="H349" s="139"/>
      <c r="I349" s="139"/>
      <c r="J349" s="139"/>
      <c r="K349" s="139"/>
      <c r="L349" s="139"/>
      <c r="M349" s="139"/>
      <c r="N349" s="139"/>
      <c r="O349" s="139"/>
      <c r="P349" s="139"/>
      <c r="Q349" s="139"/>
      <c r="R349" s="139"/>
      <c r="S349" s="139"/>
      <c r="T349" s="139"/>
      <c r="U349" s="139"/>
      <c r="V349" s="139"/>
      <c r="W349" s="139"/>
      <c r="X349" s="139"/>
      <c r="Y349" s="139"/>
      <c r="Z349" s="139"/>
    </row>
    <row r="350" spans="1:26" s="39" customFormat="1" ht="43.2">
      <c r="A350" s="273">
        <v>354</v>
      </c>
      <c r="B350" s="89" t="s">
        <v>3356</v>
      </c>
      <c r="C350" s="396">
        <v>44855</v>
      </c>
      <c r="D350" s="273" t="s">
        <v>21</v>
      </c>
      <c r="E350" s="273" t="s">
        <v>3357</v>
      </c>
      <c r="F350" s="273" t="s">
        <v>21</v>
      </c>
      <c r="G350" s="139"/>
      <c r="H350" s="139"/>
      <c r="I350" s="139"/>
      <c r="J350" s="139"/>
      <c r="K350" s="139"/>
      <c r="L350" s="139"/>
      <c r="M350" s="139"/>
      <c r="N350" s="139"/>
      <c r="O350" s="139"/>
      <c r="P350" s="139"/>
      <c r="Q350" s="139"/>
      <c r="R350" s="139"/>
      <c r="S350" s="139"/>
      <c r="T350" s="139"/>
      <c r="U350" s="139"/>
      <c r="V350" s="139"/>
      <c r="W350" s="139"/>
      <c r="X350" s="139"/>
      <c r="Y350" s="139"/>
      <c r="Z350" s="139"/>
    </row>
    <row r="351" spans="1:26" s="39" customFormat="1" ht="72">
      <c r="A351" s="273">
        <v>355</v>
      </c>
      <c r="B351" s="89" t="s">
        <v>3358</v>
      </c>
      <c r="C351" s="396">
        <v>44865</v>
      </c>
      <c r="D351" s="273" t="s">
        <v>21</v>
      </c>
      <c r="E351" s="273" t="s">
        <v>3359</v>
      </c>
      <c r="F351" s="273" t="s">
        <v>3360</v>
      </c>
      <c r="G351" s="139"/>
      <c r="H351" s="139"/>
      <c r="I351" s="139"/>
      <c r="J351" s="139"/>
      <c r="K351" s="139"/>
      <c r="L351" s="139"/>
      <c r="M351" s="139"/>
      <c r="N351" s="139"/>
      <c r="O351" s="139"/>
      <c r="P351" s="139"/>
      <c r="Q351" s="139"/>
      <c r="R351" s="139"/>
      <c r="S351" s="139"/>
      <c r="T351" s="139"/>
      <c r="U351" s="139"/>
      <c r="V351" s="139"/>
      <c r="W351" s="139"/>
      <c r="X351" s="139"/>
      <c r="Y351" s="139"/>
      <c r="Z351" s="139"/>
    </row>
    <row r="352" spans="1:26" s="39" customFormat="1" ht="43.2">
      <c r="A352" s="273">
        <v>356</v>
      </c>
      <c r="B352" s="89" t="s">
        <v>3361</v>
      </c>
      <c r="C352" s="396">
        <v>44865</v>
      </c>
      <c r="D352" s="273" t="s">
        <v>21</v>
      </c>
      <c r="E352" s="273" t="s">
        <v>3362</v>
      </c>
      <c r="F352" s="273" t="s">
        <v>3363</v>
      </c>
      <c r="G352" s="139"/>
      <c r="H352" s="139"/>
      <c r="I352" s="139"/>
      <c r="J352" s="139"/>
      <c r="K352" s="139"/>
      <c r="L352" s="139"/>
      <c r="M352" s="139"/>
      <c r="N352" s="139"/>
      <c r="O352" s="139"/>
      <c r="P352" s="139"/>
      <c r="Q352" s="139"/>
      <c r="R352" s="139"/>
      <c r="S352" s="139"/>
      <c r="T352" s="139"/>
      <c r="U352" s="139"/>
      <c r="V352" s="139"/>
      <c r="W352" s="139"/>
      <c r="X352" s="139"/>
      <c r="Y352" s="139"/>
      <c r="Z352" s="139"/>
    </row>
    <row r="353" spans="1:26" s="39" customFormat="1" ht="72">
      <c r="A353" s="273">
        <v>357</v>
      </c>
      <c r="B353" s="89" t="s">
        <v>3364</v>
      </c>
      <c r="C353" s="396">
        <v>44865</v>
      </c>
      <c r="D353" s="273" t="s">
        <v>21</v>
      </c>
      <c r="E353" s="273" t="s">
        <v>3365</v>
      </c>
      <c r="F353" s="273" t="s">
        <v>3366</v>
      </c>
      <c r="G353" s="139"/>
      <c r="H353" s="139"/>
      <c r="I353" s="139"/>
      <c r="J353" s="139"/>
      <c r="K353" s="139"/>
      <c r="L353" s="139"/>
      <c r="M353" s="139"/>
      <c r="N353" s="139"/>
      <c r="O353" s="139"/>
      <c r="P353" s="139"/>
      <c r="Q353" s="139"/>
      <c r="R353" s="139"/>
      <c r="S353" s="139"/>
      <c r="T353" s="139"/>
      <c r="U353" s="139"/>
      <c r="V353" s="139"/>
      <c r="W353" s="139"/>
      <c r="X353" s="139"/>
      <c r="Y353" s="139"/>
      <c r="Z353" s="139"/>
    </row>
    <row r="354" spans="1:26" s="39" customFormat="1" ht="57.6">
      <c r="A354" s="273">
        <v>358</v>
      </c>
      <c r="B354" s="89" t="s">
        <v>3367</v>
      </c>
      <c r="C354" s="396">
        <v>44866</v>
      </c>
      <c r="D354" s="273" t="s">
        <v>21</v>
      </c>
      <c r="E354" s="273" t="s">
        <v>3368</v>
      </c>
      <c r="F354" s="273" t="s">
        <v>3369</v>
      </c>
      <c r="G354" s="139"/>
      <c r="H354" s="139"/>
      <c r="I354" s="139"/>
      <c r="J354" s="139"/>
      <c r="K354" s="139"/>
      <c r="L354" s="139"/>
      <c r="M354" s="139"/>
      <c r="N354" s="139"/>
      <c r="O354" s="139"/>
      <c r="P354" s="139"/>
      <c r="Q354" s="139"/>
      <c r="R354" s="139"/>
      <c r="S354" s="139"/>
      <c r="T354" s="139"/>
      <c r="U354" s="139"/>
      <c r="V354" s="139"/>
      <c r="W354" s="139"/>
      <c r="X354" s="139"/>
      <c r="Y354" s="139"/>
      <c r="Z354" s="139"/>
    </row>
    <row r="355" spans="1:26" s="39" customFormat="1" ht="28.8">
      <c r="A355" s="273">
        <v>359</v>
      </c>
      <c r="B355" s="89" t="s">
        <v>3370</v>
      </c>
      <c r="C355" s="396">
        <v>44872</v>
      </c>
      <c r="D355" s="273" t="s">
        <v>21</v>
      </c>
      <c r="E355" s="273" t="s">
        <v>3371</v>
      </c>
      <c r="F355" s="273" t="s">
        <v>21</v>
      </c>
      <c r="G355" s="139"/>
      <c r="H355" s="139"/>
      <c r="I355" s="139"/>
      <c r="J355" s="139"/>
      <c r="K355" s="139"/>
      <c r="L355" s="139"/>
      <c r="M355" s="139"/>
      <c r="N355" s="139"/>
      <c r="O355" s="139"/>
      <c r="P355" s="139"/>
      <c r="Q355" s="139"/>
      <c r="R355" s="139"/>
      <c r="S355" s="139"/>
      <c r="T355" s="139"/>
      <c r="U355" s="139"/>
      <c r="V355" s="139"/>
      <c r="W355" s="139"/>
      <c r="X355" s="139"/>
      <c r="Y355" s="139"/>
      <c r="Z355" s="139"/>
    </row>
    <row r="356" spans="1:26" s="39" customFormat="1" ht="57.6">
      <c r="A356" s="273">
        <v>360</v>
      </c>
      <c r="B356" s="89" t="s">
        <v>3372</v>
      </c>
      <c r="C356" s="396">
        <v>44872</v>
      </c>
      <c r="D356" s="273" t="s">
        <v>21</v>
      </c>
      <c r="E356" s="273" t="s">
        <v>3373</v>
      </c>
      <c r="F356" s="273" t="s">
        <v>21</v>
      </c>
      <c r="G356" s="139"/>
      <c r="H356" s="139"/>
      <c r="I356" s="139"/>
      <c r="J356" s="139"/>
      <c r="K356" s="139"/>
      <c r="L356" s="139"/>
      <c r="M356" s="139"/>
      <c r="N356" s="139"/>
      <c r="O356" s="139"/>
      <c r="P356" s="139"/>
      <c r="Q356" s="139"/>
      <c r="R356" s="139"/>
      <c r="S356" s="139"/>
      <c r="T356" s="139"/>
      <c r="U356" s="139"/>
      <c r="V356" s="139"/>
      <c r="W356" s="139"/>
      <c r="X356" s="139"/>
      <c r="Y356" s="139"/>
      <c r="Z356" s="139"/>
    </row>
    <row r="357" spans="1:26" s="39" customFormat="1" ht="57.6">
      <c r="A357" s="273">
        <v>361</v>
      </c>
      <c r="B357" s="89" t="s">
        <v>3374</v>
      </c>
      <c r="C357" s="396">
        <v>44873</v>
      </c>
      <c r="D357" s="273" t="s">
        <v>21</v>
      </c>
      <c r="E357" s="273" t="s">
        <v>3375</v>
      </c>
      <c r="F357" s="273" t="s">
        <v>21</v>
      </c>
      <c r="G357" s="139"/>
      <c r="H357" s="139"/>
      <c r="I357" s="139"/>
      <c r="J357" s="139"/>
      <c r="K357" s="139"/>
      <c r="L357" s="139"/>
      <c r="M357" s="139"/>
      <c r="N357" s="139"/>
      <c r="O357" s="139"/>
      <c r="P357" s="139"/>
      <c r="Q357" s="139"/>
      <c r="R357" s="139"/>
      <c r="S357" s="139"/>
      <c r="T357" s="139"/>
      <c r="U357" s="139"/>
      <c r="V357" s="139"/>
      <c r="W357" s="139"/>
      <c r="X357" s="139"/>
      <c r="Y357" s="139"/>
      <c r="Z357" s="139"/>
    </row>
    <row r="358" spans="1:26" s="39" customFormat="1" ht="43.2">
      <c r="A358" s="273">
        <v>362</v>
      </c>
      <c r="B358" s="89" t="s">
        <v>3376</v>
      </c>
      <c r="C358" s="396">
        <v>44874</v>
      </c>
      <c r="D358" s="273" t="s">
        <v>21</v>
      </c>
      <c r="E358" s="273" t="s">
        <v>3377</v>
      </c>
      <c r="F358" s="273" t="s">
        <v>21</v>
      </c>
      <c r="G358" s="139"/>
      <c r="H358" s="139"/>
      <c r="I358" s="139"/>
      <c r="J358" s="139"/>
      <c r="K358" s="139"/>
      <c r="L358" s="139"/>
      <c r="M358" s="139"/>
      <c r="N358" s="139"/>
      <c r="O358" s="139"/>
      <c r="P358" s="139"/>
      <c r="Q358" s="139"/>
      <c r="R358" s="139"/>
      <c r="S358" s="139"/>
      <c r="T358" s="139"/>
      <c r="U358" s="139"/>
      <c r="V358" s="139"/>
      <c r="W358" s="139"/>
      <c r="X358" s="139"/>
      <c r="Y358" s="139"/>
      <c r="Z358" s="139"/>
    </row>
    <row r="359" spans="1:26" s="39" customFormat="1" ht="72">
      <c r="A359" s="273">
        <v>363</v>
      </c>
      <c r="B359" s="89" t="s">
        <v>3378</v>
      </c>
      <c r="C359" s="396">
        <v>44874</v>
      </c>
      <c r="D359" s="273" t="s">
        <v>21</v>
      </c>
      <c r="E359" s="273" t="s">
        <v>3379</v>
      </c>
      <c r="F359" s="273" t="s">
        <v>21</v>
      </c>
      <c r="G359" s="139"/>
      <c r="H359" s="139"/>
      <c r="I359" s="139"/>
      <c r="J359" s="139"/>
      <c r="K359" s="139"/>
      <c r="L359" s="139"/>
      <c r="M359" s="139"/>
      <c r="N359" s="139"/>
      <c r="O359" s="139"/>
      <c r="P359" s="139"/>
      <c r="Q359" s="139"/>
      <c r="R359" s="139"/>
      <c r="S359" s="139"/>
      <c r="T359" s="139"/>
      <c r="U359" s="139"/>
      <c r="V359" s="139"/>
      <c r="W359" s="139"/>
      <c r="X359" s="139"/>
      <c r="Y359" s="139"/>
      <c r="Z359" s="139"/>
    </row>
    <row r="360" spans="1:26" s="39" customFormat="1" ht="57.6">
      <c r="A360" s="273">
        <v>364</v>
      </c>
      <c r="B360" s="89" t="s">
        <v>3380</v>
      </c>
      <c r="C360" s="396">
        <v>44875</v>
      </c>
      <c r="D360" s="273" t="s">
        <v>21</v>
      </c>
      <c r="E360" s="273" t="s">
        <v>3381</v>
      </c>
      <c r="F360" s="273" t="s">
        <v>21</v>
      </c>
      <c r="G360" s="139"/>
      <c r="H360" s="139"/>
      <c r="I360" s="139"/>
      <c r="J360" s="139"/>
      <c r="K360" s="139"/>
      <c r="L360" s="139"/>
      <c r="M360" s="139"/>
      <c r="N360" s="139"/>
      <c r="O360" s="139"/>
      <c r="P360" s="139"/>
      <c r="Q360" s="139"/>
      <c r="R360" s="139"/>
      <c r="S360" s="139"/>
      <c r="T360" s="139"/>
      <c r="U360" s="139"/>
      <c r="V360" s="139"/>
      <c r="W360" s="139"/>
      <c r="X360" s="139"/>
      <c r="Y360" s="139"/>
      <c r="Z360" s="139"/>
    </row>
    <row r="361" spans="1:26" s="39" customFormat="1" ht="57.6">
      <c r="A361" s="273">
        <v>365</v>
      </c>
      <c r="B361" s="89" t="s">
        <v>3382</v>
      </c>
      <c r="C361" s="396">
        <v>44879</v>
      </c>
      <c r="D361" s="273" t="s">
        <v>21</v>
      </c>
      <c r="E361" s="273" t="s">
        <v>3383</v>
      </c>
      <c r="F361" s="273" t="s">
        <v>21</v>
      </c>
      <c r="G361" s="139"/>
      <c r="H361" s="139"/>
      <c r="I361" s="139"/>
      <c r="J361" s="139"/>
      <c r="K361" s="139"/>
      <c r="L361" s="139"/>
      <c r="M361" s="139"/>
      <c r="N361" s="139"/>
      <c r="O361" s="139"/>
      <c r="P361" s="139"/>
      <c r="Q361" s="139"/>
      <c r="R361" s="139"/>
      <c r="S361" s="139"/>
      <c r="T361" s="139"/>
      <c r="U361" s="139"/>
      <c r="V361" s="139"/>
      <c r="W361" s="139"/>
      <c r="X361" s="139"/>
      <c r="Y361" s="139"/>
      <c r="Z361" s="139"/>
    </row>
    <row r="362" spans="1:26" s="39" customFormat="1" ht="43.2">
      <c r="A362" s="273">
        <v>366</v>
      </c>
      <c r="B362" s="89" t="s">
        <v>3384</v>
      </c>
      <c r="C362" s="396">
        <v>44888</v>
      </c>
      <c r="D362" s="273" t="s">
        <v>21</v>
      </c>
      <c r="E362" s="273" t="s">
        <v>3385</v>
      </c>
      <c r="F362" s="273" t="s">
        <v>3386</v>
      </c>
      <c r="G362" s="139"/>
      <c r="H362" s="139"/>
      <c r="I362" s="139"/>
      <c r="J362" s="139"/>
      <c r="K362" s="139"/>
      <c r="L362" s="139"/>
      <c r="M362" s="139"/>
      <c r="N362" s="139"/>
      <c r="O362" s="139"/>
      <c r="P362" s="139"/>
      <c r="Q362" s="139"/>
      <c r="R362" s="139"/>
      <c r="S362" s="139"/>
      <c r="T362" s="139"/>
      <c r="U362" s="139"/>
      <c r="V362" s="139"/>
      <c r="W362" s="139"/>
      <c r="X362" s="139"/>
      <c r="Y362" s="139"/>
      <c r="Z362" s="139"/>
    </row>
    <row r="363" spans="1:26" s="39" customFormat="1" ht="72">
      <c r="A363" s="273">
        <v>367</v>
      </c>
      <c r="B363" s="89" t="s">
        <v>3387</v>
      </c>
      <c r="C363" s="396">
        <v>44907</v>
      </c>
      <c r="D363" s="273" t="s">
        <v>21</v>
      </c>
      <c r="E363" s="273" t="s">
        <v>3388</v>
      </c>
      <c r="F363" s="273" t="s">
        <v>3389</v>
      </c>
      <c r="G363" s="139"/>
      <c r="H363" s="139"/>
      <c r="I363" s="139"/>
      <c r="J363" s="139"/>
      <c r="K363" s="139"/>
      <c r="L363" s="139"/>
      <c r="M363" s="139"/>
      <c r="N363" s="139"/>
      <c r="O363" s="139"/>
      <c r="P363" s="139"/>
      <c r="Q363" s="139"/>
      <c r="R363" s="139"/>
      <c r="S363" s="139"/>
      <c r="T363" s="139"/>
      <c r="U363" s="139"/>
      <c r="V363" s="139"/>
      <c r="W363" s="139"/>
      <c r="X363" s="139"/>
      <c r="Y363" s="139"/>
      <c r="Z363" s="139"/>
    </row>
    <row r="364" spans="1:26" s="39" customFormat="1" ht="57.6" customHeight="1">
      <c r="A364" s="273">
        <v>368</v>
      </c>
      <c r="B364" s="89" t="s">
        <v>3390</v>
      </c>
      <c r="C364" s="396">
        <v>44915</v>
      </c>
      <c r="D364" s="273" t="s">
        <v>21</v>
      </c>
      <c r="E364" s="273" t="s">
        <v>3391</v>
      </c>
      <c r="F364" s="273" t="s">
        <v>3392</v>
      </c>
      <c r="G364" s="139"/>
      <c r="H364" s="139"/>
      <c r="I364" s="139"/>
      <c r="J364" s="139"/>
      <c r="K364" s="139"/>
      <c r="L364" s="139"/>
      <c r="M364" s="139"/>
      <c r="N364" s="139"/>
      <c r="O364" s="139"/>
      <c r="P364" s="139"/>
      <c r="Q364" s="139"/>
      <c r="R364" s="139"/>
      <c r="S364" s="139"/>
      <c r="T364" s="139"/>
      <c r="U364" s="139"/>
      <c r="V364" s="139"/>
      <c r="W364" s="139"/>
      <c r="X364" s="139"/>
      <c r="Y364" s="139"/>
      <c r="Z364" s="139"/>
    </row>
    <row r="365" spans="1:26" s="39" customFormat="1" ht="86.4">
      <c r="A365" s="273">
        <v>369</v>
      </c>
      <c r="B365" s="274" t="s">
        <v>3393</v>
      </c>
      <c r="C365" s="396">
        <v>44964</v>
      </c>
      <c r="D365" s="273" t="s">
        <v>21</v>
      </c>
      <c r="E365" s="273" t="s">
        <v>3394</v>
      </c>
      <c r="F365" s="273" t="s">
        <v>3395</v>
      </c>
      <c r="G365" s="139"/>
      <c r="H365" s="139"/>
      <c r="I365" s="139"/>
      <c r="J365" s="139"/>
      <c r="K365" s="139"/>
      <c r="L365" s="139"/>
      <c r="M365" s="139"/>
      <c r="N365" s="139"/>
      <c r="O365" s="139"/>
      <c r="P365" s="139"/>
      <c r="Q365" s="139"/>
      <c r="R365" s="139"/>
      <c r="S365" s="139"/>
      <c r="T365" s="139"/>
      <c r="U365" s="139"/>
      <c r="V365" s="139"/>
      <c r="W365" s="139"/>
      <c r="X365" s="139"/>
      <c r="Y365" s="139"/>
      <c r="Z365" s="139"/>
    </row>
    <row r="366" spans="1:26" s="39" customFormat="1" ht="43.2">
      <c r="A366" s="273">
        <v>370</v>
      </c>
      <c r="B366" s="274" t="s">
        <v>3396</v>
      </c>
      <c r="C366" s="396">
        <v>45029</v>
      </c>
      <c r="D366" s="273" t="s">
        <v>21</v>
      </c>
      <c r="E366" s="273" t="s">
        <v>3397</v>
      </c>
      <c r="F366" s="274" t="s">
        <v>3398</v>
      </c>
      <c r="G366" s="139"/>
      <c r="H366" s="139"/>
      <c r="I366" s="139"/>
      <c r="J366" s="139"/>
      <c r="K366" s="139"/>
      <c r="L366" s="139"/>
      <c r="M366" s="139"/>
      <c r="N366" s="139"/>
      <c r="O366" s="139"/>
      <c r="P366" s="139"/>
      <c r="Q366" s="139"/>
      <c r="R366" s="139"/>
      <c r="S366" s="139"/>
      <c r="T366" s="139"/>
      <c r="U366" s="139"/>
      <c r="V366" s="139"/>
      <c r="W366" s="139"/>
      <c r="X366" s="139"/>
      <c r="Y366" s="139"/>
      <c r="Z366" s="139"/>
    </row>
    <row r="367" spans="1:26" s="39" customFormat="1" ht="86.4">
      <c r="A367" s="273">
        <v>371</v>
      </c>
      <c r="B367" s="89" t="s">
        <v>3399</v>
      </c>
      <c r="C367" s="396">
        <v>45090</v>
      </c>
      <c r="D367" s="273" t="s">
        <v>21</v>
      </c>
      <c r="E367" s="273" t="s">
        <v>3400</v>
      </c>
      <c r="F367" s="273" t="s">
        <v>21</v>
      </c>
      <c r="G367" s="139"/>
      <c r="H367" s="139"/>
      <c r="I367" s="139"/>
      <c r="J367" s="139"/>
      <c r="K367" s="139"/>
      <c r="L367" s="139"/>
      <c r="M367" s="139"/>
      <c r="N367" s="139"/>
      <c r="O367" s="139"/>
      <c r="P367" s="139"/>
      <c r="Q367" s="139"/>
      <c r="R367" s="139"/>
      <c r="S367" s="139"/>
      <c r="T367" s="139"/>
      <c r="U367" s="139"/>
      <c r="V367" s="139"/>
      <c r="W367" s="139"/>
      <c r="X367" s="139"/>
      <c r="Y367" s="139"/>
      <c r="Z367" s="139"/>
    </row>
    <row r="368" spans="1:26" s="39" customFormat="1" ht="72">
      <c r="A368" s="273">
        <v>372</v>
      </c>
      <c r="B368" s="89" t="s">
        <v>3401</v>
      </c>
      <c r="C368" s="396">
        <v>45098</v>
      </c>
      <c r="D368" s="273" t="s">
        <v>3402</v>
      </c>
      <c r="E368" s="273" t="s">
        <v>3403</v>
      </c>
      <c r="F368" s="273" t="s">
        <v>3404</v>
      </c>
      <c r="G368" s="139"/>
      <c r="H368" s="139"/>
      <c r="I368" s="139"/>
      <c r="J368" s="139"/>
      <c r="K368" s="139"/>
      <c r="L368" s="139"/>
      <c r="M368" s="139"/>
      <c r="N368" s="139"/>
      <c r="O368" s="139"/>
      <c r="P368" s="139"/>
      <c r="Q368" s="139"/>
      <c r="R368" s="139"/>
      <c r="S368" s="139"/>
      <c r="T368" s="139"/>
      <c r="U368" s="139"/>
      <c r="V368" s="139"/>
      <c r="W368" s="139"/>
      <c r="X368" s="139"/>
      <c r="Y368" s="139"/>
      <c r="Z368" s="139"/>
    </row>
    <row r="369" spans="1:26" s="39" customFormat="1" ht="33.75" customHeight="1">
      <c r="A369" s="273">
        <v>373</v>
      </c>
      <c r="B369" s="89" t="s">
        <v>3405</v>
      </c>
      <c r="C369" s="396">
        <v>45098</v>
      </c>
      <c r="D369" s="273" t="s">
        <v>21</v>
      </c>
      <c r="E369" s="273" t="s">
        <v>3406</v>
      </c>
      <c r="F369" s="273" t="s">
        <v>3407</v>
      </c>
      <c r="G369" s="139"/>
      <c r="H369" s="139"/>
      <c r="I369" s="139"/>
      <c r="J369" s="139"/>
      <c r="K369" s="139"/>
      <c r="L369" s="139"/>
      <c r="M369" s="139"/>
      <c r="N369" s="139"/>
      <c r="O369" s="139"/>
      <c r="P369" s="139"/>
      <c r="Q369" s="139"/>
      <c r="R369" s="139"/>
      <c r="S369" s="139"/>
      <c r="T369" s="139"/>
      <c r="U369" s="139"/>
      <c r="V369" s="139"/>
      <c r="W369" s="139"/>
      <c r="X369" s="139"/>
      <c r="Y369" s="139"/>
      <c r="Z369" s="139"/>
    </row>
    <row r="370" spans="1:26" s="39" customFormat="1" ht="43.2">
      <c r="A370" s="273">
        <v>374</v>
      </c>
      <c r="B370" s="89" t="s">
        <v>3408</v>
      </c>
      <c r="C370" s="396">
        <v>45099</v>
      </c>
      <c r="D370" s="273" t="s">
        <v>21</v>
      </c>
      <c r="E370" s="273" t="s">
        <v>3409</v>
      </c>
      <c r="F370" s="273" t="s">
        <v>3410</v>
      </c>
      <c r="G370" s="139"/>
      <c r="H370" s="139"/>
      <c r="I370" s="139"/>
      <c r="J370" s="139"/>
      <c r="K370" s="139"/>
      <c r="L370" s="139"/>
      <c r="M370" s="139"/>
      <c r="N370" s="139"/>
      <c r="O370" s="139"/>
      <c r="P370" s="139"/>
      <c r="Q370" s="139"/>
      <c r="R370" s="139"/>
      <c r="S370" s="139"/>
      <c r="T370" s="139"/>
      <c r="U370" s="139"/>
      <c r="V370" s="139"/>
      <c r="W370" s="139"/>
      <c r="X370" s="139"/>
      <c r="Y370" s="139"/>
      <c r="Z370" s="139"/>
    </row>
    <row r="371" spans="1:26" s="39" customFormat="1" ht="57.6">
      <c r="A371" s="273">
        <v>375</v>
      </c>
      <c r="B371" s="89" t="s">
        <v>3411</v>
      </c>
      <c r="C371" s="396">
        <v>45114</v>
      </c>
      <c r="D371" s="273" t="s">
        <v>21</v>
      </c>
      <c r="E371" s="273" t="s">
        <v>3412</v>
      </c>
      <c r="F371" s="273" t="s">
        <v>3413</v>
      </c>
      <c r="G371" s="139"/>
      <c r="H371" s="139"/>
      <c r="I371" s="139"/>
      <c r="J371" s="139"/>
      <c r="K371" s="139"/>
      <c r="L371" s="139"/>
      <c r="M371" s="139"/>
      <c r="N371" s="139"/>
      <c r="O371" s="139"/>
      <c r="P371" s="139"/>
      <c r="Q371" s="139"/>
      <c r="R371" s="139"/>
      <c r="S371" s="139"/>
      <c r="T371" s="139"/>
      <c r="U371" s="139"/>
      <c r="V371" s="139"/>
      <c r="W371" s="139"/>
      <c r="X371" s="139"/>
      <c r="Y371" s="139"/>
      <c r="Z371" s="139"/>
    </row>
    <row r="372" spans="1:26" ht="86.4">
      <c r="A372" s="273">
        <v>376</v>
      </c>
      <c r="B372" s="270" t="s">
        <v>3414</v>
      </c>
      <c r="C372" s="396">
        <v>45216</v>
      </c>
      <c r="D372" s="273" t="s">
        <v>21</v>
      </c>
      <c r="E372" s="273" t="s">
        <v>3415</v>
      </c>
      <c r="F372" s="273" t="s">
        <v>21</v>
      </c>
      <c r="G372" s="139"/>
      <c r="H372" s="139"/>
      <c r="I372" s="139"/>
      <c r="J372" s="139"/>
      <c r="K372" s="139"/>
      <c r="L372" s="139"/>
      <c r="M372" s="139"/>
      <c r="N372" s="139"/>
      <c r="O372" s="139"/>
      <c r="P372" s="139"/>
      <c r="Q372" s="139"/>
      <c r="R372" s="139"/>
      <c r="S372" s="139"/>
      <c r="T372" s="139"/>
      <c r="U372" s="139"/>
      <c r="V372" s="139"/>
      <c r="W372" s="139"/>
      <c r="X372" s="139"/>
      <c r="Y372" s="139"/>
      <c r="Z372" s="139"/>
    </row>
    <row r="373" spans="1:26" s="39" customFormat="1" ht="172.8">
      <c r="A373" s="273">
        <v>377</v>
      </c>
      <c r="B373" s="89" t="s">
        <v>3416</v>
      </c>
      <c r="C373" s="396">
        <v>45246</v>
      </c>
      <c r="D373" s="273" t="s">
        <v>21</v>
      </c>
      <c r="E373" s="273" t="s">
        <v>3417</v>
      </c>
      <c r="F373" s="273" t="s">
        <v>21</v>
      </c>
      <c r="G373" s="139"/>
      <c r="H373" s="139"/>
      <c r="I373" s="139"/>
      <c r="J373" s="139"/>
      <c r="K373" s="139"/>
      <c r="L373" s="139"/>
      <c r="M373" s="139"/>
      <c r="N373" s="139"/>
      <c r="O373" s="139"/>
      <c r="P373" s="139"/>
      <c r="Q373" s="139"/>
      <c r="R373" s="139"/>
      <c r="S373" s="139"/>
      <c r="T373" s="139"/>
      <c r="U373" s="139"/>
      <c r="V373" s="139"/>
      <c r="W373" s="139"/>
      <c r="X373" s="139"/>
      <c r="Y373" s="139"/>
      <c r="Z373" s="139"/>
    </row>
    <row r="374" spans="1:26" s="39" customFormat="1" ht="72">
      <c r="A374" s="273">
        <v>378</v>
      </c>
      <c r="B374" s="89" t="s">
        <v>3418</v>
      </c>
      <c r="C374" s="396">
        <v>45246</v>
      </c>
      <c r="D374" s="273" t="s">
        <v>21</v>
      </c>
      <c r="E374" s="273" t="s">
        <v>3419</v>
      </c>
      <c r="F374" s="273" t="s">
        <v>21</v>
      </c>
      <c r="G374" s="139"/>
      <c r="H374" s="139"/>
      <c r="I374" s="139"/>
      <c r="J374" s="139"/>
      <c r="K374" s="139"/>
      <c r="L374" s="139"/>
      <c r="M374" s="139"/>
      <c r="N374" s="139"/>
      <c r="O374" s="139"/>
      <c r="P374" s="139"/>
      <c r="Q374" s="139"/>
      <c r="R374" s="139"/>
      <c r="S374" s="139"/>
      <c r="T374" s="139"/>
      <c r="U374" s="139"/>
      <c r="V374" s="139"/>
      <c r="W374" s="139"/>
      <c r="X374" s="139"/>
      <c r="Y374" s="139"/>
      <c r="Z374" s="139"/>
    </row>
    <row r="375" spans="1:26" s="39" customFormat="1" ht="57.6">
      <c r="A375" s="273">
        <v>379</v>
      </c>
      <c r="B375" s="89" t="s">
        <v>3420</v>
      </c>
      <c r="C375" s="396">
        <v>45316</v>
      </c>
      <c r="D375" s="273" t="s">
        <v>21</v>
      </c>
      <c r="E375" s="273" t="s">
        <v>3421</v>
      </c>
      <c r="F375" s="273" t="s">
        <v>21</v>
      </c>
      <c r="G375" s="139"/>
      <c r="H375" s="139"/>
      <c r="I375" s="139"/>
      <c r="J375" s="139"/>
      <c r="K375" s="139"/>
      <c r="L375" s="139"/>
      <c r="M375" s="139"/>
      <c r="N375" s="139"/>
      <c r="O375" s="139"/>
      <c r="P375" s="139"/>
      <c r="Q375" s="139"/>
      <c r="R375" s="139"/>
      <c r="S375" s="139"/>
      <c r="T375" s="139"/>
      <c r="U375" s="139"/>
      <c r="V375" s="139"/>
      <c r="W375" s="139"/>
      <c r="X375" s="139"/>
      <c r="Y375" s="139"/>
      <c r="Z375" s="139"/>
    </row>
    <row r="376" spans="1:26" s="39" customFormat="1" ht="100.8">
      <c r="A376" s="273">
        <v>380</v>
      </c>
      <c r="B376" s="89" t="s">
        <v>3422</v>
      </c>
      <c r="C376" s="396">
        <v>45320</v>
      </c>
      <c r="D376" s="273" t="s">
        <v>21</v>
      </c>
      <c r="E376" s="273" t="s">
        <v>3423</v>
      </c>
      <c r="F376" s="273" t="s">
        <v>3424</v>
      </c>
      <c r="G376" s="139"/>
      <c r="H376" s="139"/>
      <c r="I376" s="139"/>
      <c r="J376" s="139"/>
      <c r="K376" s="139"/>
      <c r="L376" s="139"/>
      <c r="M376" s="139"/>
      <c r="N376" s="139"/>
      <c r="O376" s="139"/>
      <c r="P376" s="139"/>
      <c r="Q376" s="139"/>
      <c r="R376" s="139"/>
      <c r="S376" s="139"/>
      <c r="T376" s="139"/>
      <c r="U376" s="139"/>
      <c r="V376" s="139"/>
      <c r="W376" s="139"/>
      <c r="X376" s="139"/>
      <c r="Y376" s="139"/>
      <c r="Z376" s="139"/>
    </row>
    <row r="377" spans="1:26" ht="72">
      <c r="A377" s="273">
        <v>381</v>
      </c>
      <c r="B377" s="89" t="s">
        <v>3425</v>
      </c>
      <c r="C377" s="396">
        <v>45405</v>
      </c>
      <c r="D377" s="273" t="s">
        <v>21</v>
      </c>
      <c r="E377" s="273" t="s">
        <v>3426</v>
      </c>
      <c r="F377" s="273" t="s">
        <v>21</v>
      </c>
      <c r="G377" s="139"/>
      <c r="H377" s="139"/>
      <c r="I377" s="139"/>
      <c r="J377" s="139"/>
      <c r="K377" s="139"/>
      <c r="L377" s="139"/>
      <c r="M377" s="139"/>
      <c r="N377" s="139"/>
      <c r="O377" s="139"/>
      <c r="P377" s="139"/>
      <c r="Q377" s="139"/>
      <c r="R377" s="139"/>
      <c r="S377" s="139"/>
      <c r="T377" s="139"/>
      <c r="U377" s="139"/>
      <c r="V377" s="139"/>
      <c r="W377" s="139"/>
      <c r="X377" s="139"/>
      <c r="Y377" s="139"/>
      <c r="Z377" s="139"/>
    </row>
    <row r="378" spans="1:26" ht="72">
      <c r="A378" s="273">
        <v>382</v>
      </c>
      <c r="B378" s="89" t="s">
        <v>3427</v>
      </c>
      <c r="C378" s="396">
        <v>45408</v>
      </c>
      <c r="D378" s="273" t="s">
        <v>21</v>
      </c>
      <c r="E378" s="273" t="s">
        <v>3428</v>
      </c>
      <c r="F378" s="273" t="s">
        <v>3429</v>
      </c>
      <c r="G378" s="139"/>
      <c r="H378" s="139"/>
      <c r="I378" s="139"/>
      <c r="J378" s="139"/>
      <c r="K378" s="139"/>
      <c r="L378" s="139"/>
      <c r="M378" s="139"/>
      <c r="N378" s="139"/>
      <c r="O378" s="139"/>
      <c r="P378" s="139"/>
      <c r="Q378" s="139"/>
      <c r="R378" s="139"/>
      <c r="S378" s="139"/>
      <c r="T378" s="139"/>
      <c r="U378" s="139"/>
      <c r="V378" s="139"/>
      <c r="W378" s="139"/>
      <c r="X378" s="139"/>
      <c r="Y378" s="139"/>
      <c r="Z378" s="139"/>
    </row>
    <row r="379" spans="1:26" ht="86.4">
      <c r="A379" s="273">
        <v>383</v>
      </c>
      <c r="B379" s="89" t="s">
        <v>3430</v>
      </c>
      <c r="C379" s="396">
        <v>45408</v>
      </c>
      <c r="D379" s="273" t="s">
        <v>21</v>
      </c>
      <c r="E379" s="273" t="s">
        <v>3431</v>
      </c>
      <c r="F379" s="273" t="s">
        <v>3432</v>
      </c>
      <c r="G379" s="139"/>
      <c r="H379" s="139"/>
      <c r="I379" s="139"/>
      <c r="J379" s="139"/>
      <c r="K379" s="139"/>
      <c r="L379" s="139"/>
      <c r="M379" s="139"/>
      <c r="N379" s="139"/>
      <c r="O379" s="139"/>
      <c r="P379" s="139"/>
      <c r="Q379" s="139"/>
      <c r="R379" s="139"/>
      <c r="S379" s="139"/>
      <c r="T379" s="139"/>
      <c r="U379" s="139"/>
      <c r="V379" s="139"/>
      <c r="W379" s="139"/>
      <c r="X379" s="139"/>
      <c r="Y379" s="139"/>
      <c r="Z379" s="139"/>
    </row>
    <row r="380" spans="1:26" ht="72">
      <c r="A380" s="273">
        <v>384</v>
      </c>
      <c r="B380" s="89" t="s">
        <v>3433</v>
      </c>
      <c r="C380" s="396">
        <v>45408</v>
      </c>
      <c r="D380" s="273" t="s">
        <v>21</v>
      </c>
      <c r="E380" s="273" t="s">
        <v>3434</v>
      </c>
      <c r="F380" s="273" t="s">
        <v>3435</v>
      </c>
      <c r="G380" s="139"/>
      <c r="H380" s="139"/>
      <c r="I380" s="139"/>
      <c r="J380" s="139"/>
      <c r="K380" s="139"/>
      <c r="L380" s="139"/>
      <c r="M380" s="139"/>
      <c r="N380" s="139"/>
      <c r="O380" s="139"/>
      <c r="P380" s="139"/>
      <c r="Q380" s="139"/>
      <c r="R380" s="139"/>
      <c r="S380" s="139"/>
      <c r="T380" s="139"/>
      <c r="U380" s="139"/>
      <c r="V380" s="139"/>
      <c r="W380" s="139"/>
      <c r="X380" s="139"/>
      <c r="Y380" s="139"/>
      <c r="Z380" s="139"/>
    </row>
    <row r="381" spans="1:26" ht="72">
      <c r="A381" s="273">
        <v>385</v>
      </c>
      <c r="B381" s="89" t="s">
        <v>3436</v>
      </c>
      <c r="C381" s="396">
        <v>45408</v>
      </c>
      <c r="D381" s="273" t="s">
        <v>21</v>
      </c>
      <c r="E381" s="273" t="s">
        <v>3437</v>
      </c>
      <c r="F381" s="273" t="s">
        <v>3438</v>
      </c>
      <c r="G381" s="139"/>
      <c r="H381" s="139"/>
      <c r="I381" s="139"/>
      <c r="J381" s="139"/>
      <c r="K381" s="139"/>
      <c r="L381" s="139"/>
      <c r="M381" s="139"/>
      <c r="N381" s="139"/>
      <c r="O381" s="139"/>
      <c r="P381" s="139"/>
      <c r="Q381" s="139"/>
      <c r="R381" s="139"/>
      <c r="S381" s="139"/>
      <c r="T381" s="139"/>
      <c r="U381" s="139"/>
      <c r="V381" s="139"/>
      <c r="W381" s="139"/>
      <c r="X381" s="139"/>
      <c r="Y381" s="139"/>
      <c r="Z381" s="139"/>
    </row>
    <row r="382" spans="1:26" ht="187.2">
      <c r="A382" s="273">
        <v>386</v>
      </c>
      <c r="B382" s="89" t="s">
        <v>3439</v>
      </c>
      <c r="C382" s="396">
        <v>45440</v>
      </c>
      <c r="D382" s="273" t="s">
        <v>21</v>
      </c>
      <c r="E382" s="273" t="s">
        <v>3440</v>
      </c>
      <c r="F382" s="273" t="s">
        <v>3441</v>
      </c>
      <c r="G382" s="139"/>
      <c r="H382" s="139"/>
      <c r="I382" s="139"/>
      <c r="J382" s="139"/>
      <c r="K382" s="139"/>
      <c r="L382" s="139"/>
      <c r="M382" s="139"/>
      <c r="N382" s="139"/>
      <c r="O382" s="139"/>
      <c r="P382" s="139"/>
      <c r="Q382" s="139"/>
      <c r="R382" s="139"/>
      <c r="S382" s="139"/>
      <c r="T382" s="139"/>
      <c r="U382" s="139"/>
      <c r="V382" s="139"/>
      <c r="W382" s="139"/>
      <c r="X382" s="139"/>
      <c r="Y382" s="139"/>
      <c r="Z382" s="139"/>
    </row>
    <row r="383" spans="1:26" s="39" customFormat="1" ht="57.6">
      <c r="A383" s="273">
        <v>387</v>
      </c>
      <c r="B383" s="89" t="s">
        <v>3442</v>
      </c>
      <c r="C383" s="396">
        <v>45607</v>
      </c>
      <c r="D383" s="273" t="s">
        <v>21</v>
      </c>
      <c r="E383" s="273" t="s">
        <v>3443</v>
      </c>
      <c r="F383" s="273" t="s">
        <v>21</v>
      </c>
      <c r="G383" s="139"/>
      <c r="H383" s="139"/>
      <c r="I383" s="139"/>
      <c r="J383" s="139"/>
      <c r="K383" s="139"/>
      <c r="L383" s="139"/>
      <c r="M383" s="139"/>
      <c r="N383" s="139"/>
      <c r="O383" s="139"/>
      <c r="P383" s="139"/>
      <c r="Q383" s="139"/>
      <c r="R383" s="139"/>
      <c r="S383" s="139"/>
      <c r="T383" s="139"/>
      <c r="U383" s="139"/>
      <c r="V383" s="139"/>
      <c r="W383" s="139"/>
      <c r="X383" s="139"/>
      <c r="Y383" s="139"/>
      <c r="Z383" s="139"/>
    </row>
    <row r="384" spans="1:26" s="39" customFormat="1" ht="72">
      <c r="A384" s="273">
        <v>388</v>
      </c>
      <c r="B384" s="275" t="s">
        <v>3444</v>
      </c>
      <c r="C384" s="396">
        <v>45888</v>
      </c>
      <c r="D384" s="273" t="s">
        <v>21</v>
      </c>
      <c r="E384" s="273" t="s">
        <v>3445</v>
      </c>
      <c r="F384" s="273" t="s">
        <v>21</v>
      </c>
      <c r="G384" s="139"/>
      <c r="H384" s="139"/>
      <c r="I384" s="139"/>
      <c r="J384" s="139"/>
      <c r="K384" s="139"/>
      <c r="L384" s="139"/>
      <c r="M384" s="139"/>
      <c r="N384" s="139"/>
      <c r="O384" s="139"/>
      <c r="P384" s="139"/>
      <c r="Q384" s="139"/>
      <c r="R384" s="139"/>
      <c r="S384" s="139"/>
      <c r="T384" s="139"/>
      <c r="U384" s="139"/>
      <c r="V384" s="139"/>
      <c r="W384" s="139"/>
      <c r="X384" s="139"/>
      <c r="Y384" s="139"/>
      <c r="Z384" s="139"/>
    </row>
    <row r="385" spans="1:26" ht="57.6">
      <c r="A385" s="273">
        <v>389</v>
      </c>
      <c r="B385" s="89" t="s">
        <v>1162</v>
      </c>
      <c r="C385" s="396">
        <f>DATE(2025,8,26)</f>
        <v>45895</v>
      </c>
      <c r="D385" s="273" t="s">
        <v>21</v>
      </c>
      <c r="E385" s="273" t="s">
        <v>1163</v>
      </c>
      <c r="F385" s="273" t="s">
        <v>21</v>
      </c>
      <c r="G385" s="139"/>
      <c r="H385" s="139"/>
      <c r="I385" s="139"/>
      <c r="J385" s="139"/>
      <c r="K385" s="139"/>
      <c r="L385" s="139"/>
      <c r="M385" s="139"/>
      <c r="N385" s="139"/>
      <c r="O385" s="139"/>
      <c r="P385" s="139"/>
      <c r="Q385" s="139"/>
      <c r="R385" s="139"/>
      <c r="S385" s="139"/>
      <c r="T385" s="139"/>
      <c r="U385" s="139"/>
      <c r="V385" s="139"/>
      <c r="W385" s="139"/>
      <c r="X385" s="139"/>
      <c r="Y385" s="139"/>
      <c r="Z385" s="139"/>
    </row>
    <row r="386" spans="1:26" ht="72">
      <c r="A386" s="273">
        <v>390</v>
      </c>
      <c r="B386" s="270" t="s">
        <v>3446</v>
      </c>
      <c r="C386" s="396">
        <f>DATE(2025,10,14)</f>
        <v>45944</v>
      </c>
      <c r="D386" s="273" t="s">
        <v>21</v>
      </c>
      <c r="E386" s="273" t="s">
        <v>3447</v>
      </c>
      <c r="F386" s="273" t="s">
        <v>3448</v>
      </c>
      <c r="G386" s="139"/>
      <c r="H386" s="139"/>
      <c r="I386" s="139"/>
      <c r="J386" s="139"/>
      <c r="K386" s="139"/>
      <c r="L386" s="139"/>
      <c r="M386" s="139"/>
      <c r="N386" s="139"/>
      <c r="O386" s="139"/>
      <c r="P386" s="139"/>
      <c r="Q386" s="139"/>
      <c r="R386" s="139"/>
      <c r="S386" s="139"/>
      <c r="T386" s="139"/>
      <c r="U386" s="139"/>
      <c r="V386" s="139"/>
      <c r="W386" s="139"/>
      <c r="X386" s="139"/>
      <c r="Y386" s="139"/>
      <c r="Z386" s="139"/>
    </row>
    <row r="387" spans="1:26" ht="33.75" customHeight="1">
      <c r="A387" s="86"/>
      <c r="B387" s="87"/>
      <c r="C387" s="85"/>
      <c r="D387" s="86"/>
      <c r="E387" s="86"/>
      <c r="F387" s="86"/>
      <c r="G387" s="139"/>
      <c r="H387" s="139"/>
      <c r="I387" s="139"/>
      <c r="J387" s="139"/>
      <c r="K387" s="139"/>
      <c r="L387" s="139"/>
      <c r="M387" s="139"/>
      <c r="N387" s="139"/>
      <c r="O387" s="139"/>
      <c r="P387" s="139"/>
      <c r="Q387" s="139"/>
      <c r="R387" s="139"/>
      <c r="S387" s="139"/>
      <c r="T387" s="139"/>
      <c r="U387" s="139"/>
      <c r="V387" s="139"/>
      <c r="W387" s="139"/>
      <c r="X387" s="139"/>
      <c r="Y387" s="139"/>
      <c r="Z387" s="139"/>
    </row>
    <row r="388" spans="1:26" ht="33.75" customHeight="1">
      <c r="A388" s="86"/>
      <c r="B388" s="87"/>
      <c r="C388" s="85"/>
      <c r="D388" s="86"/>
      <c r="E388" s="86"/>
      <c r="F388" s="86"/>
      <c r="G388" s="139"/>
      <c r="H388" s="139"/>
      <c r="I388" s="139"/>
      <c r="J388" s="139"/>
      <c r="K388" s="139"/>
      <c r="L388" s="139"/>
      <c r="M388" s="139"/>
      <c r="N388" s="139"/>
      <c r="O388" s="139"/>
      <c r="P388" s="139"/>
      <c r="Q388" s="139"/>
      <c r="R388" s="139"/>
      <c r="S388" s="139"/>
      <c r="T388" s="139"/>
      <c r="U388" s="139"/>
      <c r="V388" s="139"/>
      <c r="W388" s="139"/>
      <c r="X388" s="139"/>
      <c r="Y388" s="139"/>
      <c r="Z388" s="139"/>
    </row>
    <row r="389" spans="1:26" ht="33.75" customHeight="1">
      <c r="A389" s="86"/>
      <c r="B389" s="87"/>
      <c r="C389" s="85"/>
      <c r="D389" s="86"/>
      <c r="E389" s="86"/>
      <c r="F389" s="86"/>
      <c r="G389" s="139"/>
      <c r="H389" s="139"/>
      <c r="I389" s="139"/>
      <c r="J389" s="139"/>
      <c r="K389" s="139"/>
      <c r="L389" s="139"/>
      <c r="M389" s="139"/>
      <c r="N389" s="139"/>
      <c r="O389" s="139"/>
      <c r="P389" s="139"/>
      <c r="Q389" s="139"/>
      <c r="R389" s="139"/>
      <c r="S389" s="139"/>
      <c r="T389" s="139"/>
      <c r="U389" s="139"/>
      <c r="V389" s="139"/>
      <c r="W389" s="139"/>
      <c r="X389" s="139"/>
      <c r="Y389" s="139"/>
      <c r="Z389" s="139"/>
    </row>
    <row r="390" spans="1:26" ht="33.75" customHeight="1">
      <c r="A390" s="86"/>
      <c r="B390" s="87"/>
      <c r="C390" s="85"/>
      <c r="D390" s="86"/>
      <c r="E390" s="86"/>
      <c r="F390" s="86"/>
      <c r="G390" s="139"/>
      <c r="H390" s="139"/>
      <c r="I390" s="139"/>
      <c r="J390" s="139"/>
      <c r="K390" s="139"/>
      <c r="L390" s="139"/>
      <c r="M390" s="139"/>
      <c r="N390" s="139"/>
      <c r="O390" s="139"/>
      <c r="P390" s="139"/>
      <c r="Q390" s="139"/>
      <c r="R390" s="139"/>
      <c r="S390" s="139"/>
      <c r="T390" s="139"/>
      <c r="U390" s="139"/>
      <c r="V390" s="139"/>
      <c r="W390" s="139"/>
      <c r="X390" s="139"/>
      <c r="Y390" s="139"/>
      <c r="Z390" s="139"/>
    </row>
    <row r="391" spans="1:26" ht="33.75" customHeight="1">
      <c r="A391" s="86"/>
      <c r="B391" s="87"/>
      <c r="C391" s="85"/>
      <c r="D391" s="86"/>
      <c r="E391" s="86"/>
      <c r="F391" s="86"/>
      <c r="G391" s="139"/>
      <c r="H391" s="139"/>
      <c r="I391" s="139"/>
      <c r="J391" s="139"/>
      <c r="K391" s="139"/>
      <c r="L391" s="139"/>
      <c r="M391" s="139"/>
      <c r="N391" s="139"/>
      <c r="O391" s="139"/>
      <c r="P391" s="139"/>
      <c r="Q391" s="139"/>
      <c r="R391" s="139"/>
      <c r="S391" s="139"/>
      <c r="T391" s="139"/>
      <c r="U391" s="139"/>
      <c r="V391" s="139"/>
      <c r="W391" s="139"/>
      <c r="X391" s="139"/>
      <c r="Y391" s="139"/>
      <c r="Z391" s="139"/>
    </row>
    <row r="392" spans="1:26" ht="33.75" customHeight="1">
      <c r="A392" s="86"/>
      <c r="B392" s="87"/>
      <c r="C392" s="85"/>
      <c r="D392" s="86"/>
      <c r="E392" s="86"/>
      <c r="F392" s="86"/>
      <c r="G392" s="139"/>
      <c r="H392" s="139"/>
      <c r="I392" s="139"/>
      <c r="J392" s="139"/>
      <c r="K392" s="139"/>
      <c r="L392" s="139"/>
      <c r="M392" s="139"/>
      <c r="N392" s="139"/>
      <c r="O392" s="139"/>
      <c r="P392" s="139"/>
      <c r="Q392" s="139"/>
      <c r="R392" s="139"/>
      <c r="S392" s="139"/>
      <c r="T392" s="139"/>
      <c r="U392" s="139"/>
      <c r="V392" s="139"/>
      <c r="W392" s="139"/>
      <c r="X392" s="139"/>
      <c r="Y392" s="139"/>
      <c r="Z392" s="139"/>
    </row>
    <row r="393" spans="1:26" ht="33.75" customHeight="1">
      <c r="A393" s="86"/>
      <c r="B393" s="87"/>
      <c r="C393" s="85"/>
      <c r="D393" s="86"/>
      <c r="E393" s="86"/>
      <c r="F393" s="86"/>
      <c r="G393" s="139"/>
      <c r="H393" s="139"/>
      <c r="I393" s="139"/>
      <c r="J393" s="139"/>
      <c r="K393" s="139"/>
      <c r="L393" s="139"/>
      <c r="M393" s="139"/>
      <c r="N393" s="139"/>
      <c r="O393" s="139"/>
      <c r="P393" s="139"/>
      <c r="Q393" s="139"/>
      <c r="R393" s="139"/>
      <c r="S393" s="139"/>
      <c r="T393" s="139"/>
      <c r="U393" s="139"/>
      <c r="V393" s="139"/>
      <c r="W393" s="139"/>
      <c r="X393" s="139"/>
      <c r="Y393" s="139"/>
      <c r="Z393" s="139"/>
    </row>
    <row r="394" spans="1:26" ht="33.75" customHeight="1">
      <c r="A394" s="86"/>
      <c r="B394" s="87"/>
      <c r="C394" s="85"/>
      <c r="D394" s="86"/>
      <c r="E394" s="86"/>
      <c r="F394" s="86"/>
      <c r="G394" s="139"/>
      <c r="H394" s="139"/>
      <c r="I394" s="139"/>
      <c r="J394" s="139"/>
      <c r="K394" s="139"/>
      <c r="L394" s="139"/>
      <c r="M394" s="139"/>
      <c r="N394" s="139"/>
      <c r="O394" s="139"/>
      <c r="P394" s="139"/>
      <c r="Q394" s="139"/>
      <c r="R394" s="139"/>
      <c r="S394" s="139"/>
      <c r="T394" s="139"/>
      <c r="U394" s="139"/>
      <c r="V394" s="139"/>
      <c r="W394" s="139"/>
      <c r="X394" s="139"/>
      <c r="Y394" s="139"/>
      <c r="Z394" s="139"/>
    </row>
    <row r="395" spans="1:26" ht="33.75" customHeight="1">
      <c r="A395" s="86"/>
      <c r="B395" s="87"/>
      <c r="C395" s="85"/>
      <c r="D395" s="86"/>
      <c r="E395" s="86"/>
      <c r="F395" s="86"/>
      <c r="G395" s="139"/>
      <c r="H395" s="139"/>
      <c r="I395" s="139"/>
      <c r="J395" s="139"/>
      <c r="K395" s="139"/>
      <c r="L395" s="139"/>
      <c r="M395" s="139"/>
      <c r="N395" s="139"/>
      <c r="O395" s="139"/>
      <c r="P395" s="139"/>
      <c r="Q395" s="139"/>
      <c r="R395" s="139"/>
      <c r="S395" s="139"/>
      <c r="T395" s="139"/>
      <c r="U395" s="139"/>
      <c r="V395" s="139"/>
      <c r="W395" s="139"/>
      <c r="X395" s="139"/>
      <c r="Y395" s="139"/>
      <c r="Z395" s="139"/>
    </row>
    <row r="396" spans="1:26" ht="33.75" customHeight="1">
      <c r="A396" s="86"/>
      <c r="B396" s="87"/>
      <c r="C396" s="85"/>
      <c r="D396" s="86"/>
      <c r="E396" s="86"/>
      <c r="F396" s="86"/>
      <c r="G396" s="139"/>
      <c r="H396" s="139"/>
      <c r="I396" s="139"/>
      <c r="J396" s="139"/>
      <c r="K396" s="139"/>
      <c r="L396" s="139"/>
      <c r="M396" s="139"/>
      <c r="N396" s="139"/>
      <c r="O396" s="139"/>
      <c r="P396" s="139"/>
      <c r="Q396" s="139"/>
      <c r="R396" s="139"/>
      <c r="S396" s="139"/>
      <c r="T396" s="139"/>
      <c r="U396" s="139"/>
      <c r="V396" s="139"/>
      <c r="W396" s="139"/>
      <c r="X396" s="139"/>
      <c r="Y396" s="139"/>
      <c r="Z396" s="139"/>
    </row>
    <row r="397" spans="1:26" ht="33.75" customHeight="1">
      <c r="A397" s="86"/>
      <c r="B397" s="87"/>
      <c r="C397" s="85"/>
      <c r="D397" s="86"/>
      <c r="E397" s="86"/>
      <c r="F397" s="86"/>
      <c r="G397" s="139"/>
      <c r="H397" s="139"/>
      <c r="I397" s="139"/>
      <c r="J397" s="139"/>
      <c r="K397" s="139"/>
      <c r="L397" s="139"/>
      <c r="M397" s="139"/>
      <c r="N397" s="139"/>
      <c r="O397" s="139"/>
      <c r="P397" s="139"/>
      <c r="Q397" s="139"/>
      <c r="R397" s="139"/>
      <c r="S397" s="139"/>
      <c r="T397" s="139"/>
      <c r="U397" s="139"/>
      <c r="V397" s="139"/>
      <c r="W397" s="139"/>
      <c r="X397" s="139"/>
      <c r="Y397" s="139"/>
      <c r="Z397" s="139"/>
    </row>
    <row r="398" spans="1:26" ht="33.75" customHeight="1">
      <c r="A398" s="86"/>
      <c r="B398" s="87"/>
      <c r="C398" s="85"/>
      <c r="D398" s="86"/>
      <c r="E398" s="86"/>
      <c r="F398" s="86"/>
      <c r="G398" s="139"/>
      <c r="H398" s="139"/>
      <c r="I398" s="139"/>
      <c r="J398" s="139"/>
      <c r="K398" s="139"/>
      <c r="L398" s="139"/>
      <c r="M398" s="139"/>
      <c r="N398" s="139"/>
      <c r="O398" s="139"/>
      <c r="P398" s="139"/>
      <c r="Q398" s="139"/>
      <c r="R398" s="139"/>
      <c r="S398" s="139"/>
      <c r="T398" s="139"/>
      <c r="U398" s="139"/>
      <c r="V398" s="139"/>
      <c r="W398" s="139"/>
      <c r="X398" s="139"/>
      <c r="Y398" s="139"/>
      <c r="Z398" s="139"/>
    </row>
    <row r="399" spans="1:26" ht="33.75" customHeight="1">
      <c r="A399" s="86"/>
      <c r="B399" s="87"/>
      <c r="C399" s="85"/>
      <c r="D399" s="86"/>
      <c r="E399" s="86"/>
      <c r="F399" s="86"/>
      <c r="G399" s="139"/>
      <c r="H399" s="139"/>
      <c r="I399" s="139"/>
      <c r="J399" s="139"/>
      <c r="K399" s="139"/>
      <c r="L399" s="139"/>
      <c r="M399" s="139"/>
      <c r="N399" s="139"/>
      <c r="O399" s="139"/>
      <c r="P399" s="139"/>
      <c r="Q399" s="139"/>
      <c r="R399" s="139"/>
      <c r="S399" s="139"/>
      <c r="T399" s="139"/>
      <c r="U399" s="139"/>
      <c r="V399" s="139"/>
      <c r="W399" s="139"/>
      <c r="X399" s="139"/>
      <c r="Y399" s="139"/>
      <c r="Z399" s="139"/>
    </row>
    <row r="400" spans="1:26" ht="33.75" customHeight="1">
      <c r="A400" s="86"/>
      <c r="B400" s="87"/>
      <c r="C400" s="85"/>
      <c r="D400" s="86"/>
      <c r="E400" s="86"/>
      <c r="F400" s="86"/>
      <c r="G400" s="139"/>
      <c r="H400" s="139"/>
      <c r="I400" s="139"/>
      <c r="J400" s="139"/>
      <c r="K400" s="139"/>
      <c r="L400" s="139"/>
      <c r="M400" s="139"/>
      <c r="N400" s="139"/>
      <c r="O400" s="139"/>
      <c r="P400" s="139"/>
      <c r="Q400" s="139"/>
      <c r="R400" s="139"/>
      <c r="S400" s="139"/>
      <c r="T400" s="139"/>
      <c r="U400" s="139"/>
      <c r="V400" s="139"/>
      <c r="W400" s="139"/>
      <c r="X400" s="139"/>
      <c r="Y400" s="139"/>
      <c r="Z400" s="139"/>
    </row>
    <row r="401" spans="1:26" ht="33.75" customHeight="1">
      <c r="A401" s="86"/>
      <c r="B401" s="87"/>
      <c r="C401" s="85"/>
      <c r="D401" s="86"/>
      <c r="E401" s="86"/>
      <c r="F401" s="86"/>
      <c r="G401" s="139"/>
      <c r="H401" s="139"/>
      <c r="I401" s="139"/>
      <c r="J401" s="139"/>
      <c r="K401" s="139"/>
      <c r="L401" s="139"/>
      <c r="M401" s="139"/>
      <c r="N401" s="139"/>
      <c r="O401" s="139"/>
      <c r="P401" s="139"/>
      <c r="Q401" s="139"/>
      <c r="R401" s="139"/>
      <c r="S401" s="139"/>
      <c r="T401" s="139"/>
      <c r="U401" s="139"/>
      <c r="V401" s="139"/>
      <c r="W401" s="139"/>
      <c r="X401" s="139"/>
      <c r="Y401" s="139"/>
      <c r="Z401" s="139"/>
    </row>
    <row r="402" spans="1:26" ht="33.75" customHeight="1">
      <c r="A402" s="86"/>
      <c r="B402" s="87"/>
      <c r="C402" s="85"/>
      <c r="D402" s="86"/>
      <c r="E402" s="86"/>
      <c r="F402" s="86"/>
      <c r="G402" s="139"/>
      <c r="H402" s="139"/>
      <c r="I402" s="139"/>
      <c r="J402" s="139"/>
      <c r="K402" s="139"/>
      <c r="L402" s="139"/>
      <c r="M402" s="139"/>
      <c r="N402" s="139"/>
      <c r="O402" s="139"/>
      <c r="P402" s="139"/>
      <c r="Q402" s="139"/>
      <c r="R402" s="139"/>
      <c r="S402" s="139"/>
      <c r="T402" s="139"/>
      <c r="U402" s="139"/>
      <c r="V402" s="139"/>
      <c r="W402" s="139"/>
      <c r="X402" s="139"/>
      <c r="Y402" s="139"/>
      <c r="Z402" s="139"/>
    </row>
    <row r="403" spans="1:26" ht="33.75" customHeight="1">
      <c r="A403" s="86"/>
      <c r="B403" s="87"/>
      <c r="C403" s="85"/>
      <c r="D403" s="86"/>
      <c r="E403" s="86"/>
      <c r="F403" s="86"/>
      <c r="G403" s="139"/>
      <c r="H403" s="139"/>
      <c r="I403" s="139"/>
      <c r="J403" s="139"/>
      <c r="K403" s="139"/>
      <c r="L403" s="139"/>
      <c r="M403" s="139"/>
      <c r="N403" s="139"/>
      <c r="O403" s="139"/>
      <c r="P403" s="139"/>
      <c r="Q403" s="139"/>
      <c r="R403" s="139"/>
      <c r="S403" s="139"/>
      <c r="T403" s="139"/>
      <c r="U403" s="139"/>
      <c r="V403" s="139"/>
      <c r="W403" s="139"/>
      <c r="X403" s="139"/>
      <c r="Y403" s="139"/>
      <c r="Z403" s="139"/>
    </row>
    <row r="404" spans="1:26" ht="33.75" customHeight="1">
      <c r="A404" s="86"/>
      <c r="B404" s="87"/>
      <c r="C404" s="85"/>
      <c r="D404" s="86"/>
      <c r="E404" s="86"/>
      <c r="F404" s="86"/>
      <c r="G404" s="139"/>
      <c r="H404" s="139"/>
      <c r="I404" s="139"/>
      <c r="J404" s="139"/>
      <c r="K404" s="139"/>
      <c r="L404" s="139"/>
      <c r="M404" s="139"/>
      <c r="N404" s="139"/>
      <c r="O404" s="139"/>
      <c r="P404" s="139"/>
      <c r="Q404" s="139"/>
      <c r="R404" s="139"/>
      <c r="S404" s="139"/>
      <c r="T404" s="139"/>
      <c r="U404" s="139"/>
      <c r="V404" s="139"/>
      <c r="W404" s="139"/>
      <c r="X404" s="139"/>
      <c r="Y404" s="139"/>
      <c r="Z404" s="139"/>
    </row>
    <row r="405" spans="1:26" ht="33.75" customHeight="1">
      <c r="A405" s="86"/>
      <c r="B405" s="87"/>
      <c r="C405" s="85"/>
      <c r="D405" s="86"/>
      <c r="E405" s="86"/>
      <c r="F405" s="86"/>
      <c r="G405" s="139"/>
      <c r="H405" s="139"/>
      <c r="I405" s="139"/>
      <c r="J405" s="139"/>
      <c r="K405" s="139"/>
      <c r="L405" s="139"/>
      <c r="M405" s="139"/>
      <c r="N405" s="139"/>
      <c r="O405" s="139"/>
      <c r="P405" s="139"/>
      <c r="Q405" s="139"/>
      <c r="R405" s="139"/>
      <c r="S405" s="139"/>
      <c r="T405" s="139"/>
      <c r="U405" s="139"/>
      <c r="V405" s="139"/>
      <c r="W405" s="139"/>
      <c r="X405" s="139"/>
      <c r="Y405" s="139"/>
      <c r="Z405" s="139"/>
    </row>
    <row r="406" spans="1:26" ht="33.75" customHeight="1">
      <c r="A406" s="86"/>
      <c r="B406" s="87"/>
      <c r="C406" s="85"/>
      <c r="D406" s="86"/>
      <c r="E406" s="86"/>
      <c r="F406" s="86"/>
      <c r="G406" s="139"/>
      <c r="H406" s="139"/>
      <c r="I406" s="139"/>
      <c r="J406" s="139"/>
      <c r="K406" s="139"/>
      <c r="L406" s="139"/>
      <c r="M406" s="139"/>
      <c r="N406" s="139"/>
      <c r="O406" s="139"/>
      <c r="P406" s="139"/>
      <c r="Q406" s="139"/>
      <c r="R406" s="139"/>
      <c r="S406" s="139"/>
      <c r="T406" s="139"/>
      <c r="U406" s="139"/>
      <c r="V406" s="139"/>
      <c r="W406" s="139"/>
      <c r="X406" s="139"/>
      <c r="Y406" s="139"/>
      <c r="Z406" s="139"/>
    </row>
    <row r="407" spans="1:26" ht="33.75" customHeight="1">
      <c r="A407" s="86"/>
      <c r="B407" s="87"/>
      <c r="C407" s="85"/>
      <c r="D407" s="86"/>
      <c r="E407" s="86"/>
      <c r="F407" s="86"/>
      <c r="G407" s="139"/>
      <c r="H407" s="139"/>
      <c r="I407" s="139"/>
      <c r="J407" s="139"/>
      <c r="K407" s="139"/>
      <c r="L407" s="139"/>
      <c r="M407" s="139"/>
      <c r="N407" s="139"/>
      <c r="O407" s="139"/>
      <c r="P407" s="139"/>
      <c r="Q407" s="139"/>
      <c r="R407" s="139"/>
      <c r="S407" s="139"/>
      <c r="T407" s="139"/>
      <c r="U407" s="139"/>
      <c r="V407" s="139"/>
      <c r="W407" s="139"/>
      <c r="X407" s="139"/>
      <c r="Y407" s="139"/>
      <c r="Z407" s="139"/>
    </row>
    <row r="408" spans="1:26" ht="33.75" customHeight="1">
      <c r="A408" s="86"/>
      <c r="B408" s="87"/>
      <c r="C408" s="85"/>
      <c r="D408" s="86"/>
      <c r="E408" s="86"/>
      <c r="F408" s="86"/>
      <c r="G408" s="139"/>
      <c r="H408" s="139"/>
      <c r="I408" s="139"/>
      <c r="J408" s="139"/>
      <c r="K408" s="139"/>
      <c r="L408" s="139"/>
      <c r="M408" s="139"/>
      <c r="N408" s="139"/>
      <c r="O408" s="139"/>
      <c r="P408" s="139"/>
      <c r="Q408" s="139"/>
      <c r="R408" s="139"/>
      <c r="S408" s="139"/>
      <c r="T408" s="139"/>
      <c r="U408" s="139"/>
      <c r="V408" s="139"/>
      <c r="W408" s="139"/>
      <c r="X408" s="139"/>
      <c r="Y408" s="139"/>
      <c r="Z408" s="139"/>
    </row>
    <row r="409" spans="1:26" ht="33.75" customHeight="1">
      <c r="A409" s="86"/>
      <c r="B409" s="87"/>
      <c r="C409" s="85"/>
      <c r="D409" s="86"/>
      <c r="E409" s="86"/>
      <c r="F409" s="86"/>
      <c r="G409" s="139"/>
      <c r="H409" s="139"/>
      <c r="I409" s="139"/>
      <c r="J409" s="139"/>
      <c r="K409" s="139"/>
      <c r="L409" s="139"/>
      <c r="M409" s="139"/>
      <c r="N409" s="139"/>
      <c r="O409" s="139"/>
      <c r="P409" s="139"/>
      <c r="Q409" s="139"/>
      <c r="R409" s="139"/>
      <c r="S409" s="139"/>
      <c r="T409" s="139"/>
      <c r="U409" s="139"/>
      <c r="V409" s="139"/>
      <c r="W409" s="139"/>
      <c r="X409" s="139"/>
      <c r="Y409" s="139"/>
      <c r="Z409" s="139"/>
    </row>
    <row r="410" spans="1:26" ht="33.75" customHeight="1">
      <c r="A410" s="86"/>
      <c r="B410" s="87"/>
      <c r="C410" s="85"/>
      <c r="D410" s="86"/>
      <c r="E410" s="86"/>
      <c r="F410" s="86"/>
      <c r="G410" s="139"/>
      <c r="H410" s="139"/>
      <c r="I410" s="139"/>
      <c r="J410" s="139"/>
      <c r="K410" s="139"/>
      <c r="L410" s="139"/>
      <c r="M410" s="139"/>
      <c r="N410" s="139"/>
      <c r="O410" s="139"/>
      <c r="P410" s="139"/>
      <c r="Q410" s="139"/>
      <c r="R410" s="139"/>
      <c r="S410" s="139"/>
      <c r="T410" s="139"/>
      <c r="U410" s="139"/>
      <c r="V410" s="139"/>
      <c r="W410" s="139"/>
      <c r="X410" s="139"/>
      <c r="Y410" s="139"/>
      <c r="Z410" s="139"/>
    </row>
    <row r="411" spans="1:26" ht="33.75" customHeight="1">
      <c r="A411" s="86"/>
      <c r="B411" s="87"/>
      <c r="C411" s="85"/>
      <c r="D411" s="86"/>
      <c r="E411" s="86"/>
      <c r="F411" s="86"/>
      <c r="G411" s="139"/>
      <c r="H411" s="139"/>
      <c r="I411" s="139"/>
      <c r="J411" s="139"/>
      <c r="K411" s="139"/>
      <c r="L411" s="139"/>
      <c r="M411" s="139"/>
      <c r="N411" s="139"/>
      <c r="O411" s="139"/>
      <c r="P411" s="139"/>
      <c r="Q411" s="139"/>
      <c r="R411" s="139"/>
      <c r="S411" s="139"/>
      <c r="T411" s="139"/>
      <c r="U411" s="139"/>
      <c r="V411" s="139"/>
      <c r="W411" s="139"/>
      <c r="X411" s="139"/>
      <c r="Y411" s="139"/>
      <c r="Z411" s="139"/>
    </row>
    <row r="412" spans="1:26" ht="33.75" customHeight="1">
      <c r="A412" s="86"/>
      <c r="B412" s="87"/>
      <c r="C412" s="85"/>
      <c r="D412" s="86"/>
      <c r="E412" s="86"/>
      <c r="F412" s="86"/>
      <c r="G412" s="139"/>
      <c r="H412" s="139"/>
      <c r="I412" s="139"/>
      <c r="J412" s="139"/>
      <c r="K412" s="139"/>
      <c r="L412" s="139"/>
      <c r="M412" s="139"/>
      <c r="N412" s="139"/>
      <c r="O412" s="139"/>
      <c r="P412" s="139"/>
      <c r="Q412" s="139"/>
      <c r="R412" s="139"/>
      <c r="S412" s="139"/>
      <c r="T412" s="139"/>
      <c r="U412" s="139"/>
      <c r="V412" s="139"/>
      <c r="W412" s="139"/>
      <c r="X412" s="139"/>
      <c r="Y412" s="139"/>
      <c r="Z412" s="139"/>
    </row>
    <row r="413" spans="1:26" ht="33.75" customHeight="1">
      <c r="A413" s="86"/>
      <c r="B413" s="87"/>
      <c r="C413" s="85"/>
      <c r="D413" s="86"/>
      <c r="E413" s="86"/>
      <c r="F413" s="86"/>
      <c r="G413" s="139"/>
      <c r="H413" s="139"/>
      <c r="I413" s="139"/>
      <c r="J413" s="139"/>
      <c r="K413" s="139"/>
      <c r="L413" s="139"/>
      <c r="M413" s="139"/>
      <c r="N413" s="139"/>
      <c r="O413" s="139"/>
      <c r="P413" s="139"/>
      <c r="Q413" s="139"/>
      <c r="R413" s="139"/>
      <c r="S413" s="139"/>
      <c r="T413" s="139"/>
      <c r="U413" s="139"/>
      <c r="V413" s="139"/>
      <c r="W413" s="139"/>
      <c r="X413" s="139"/>
      <c r="Y413" s="139"/>
      <c r="Z413" s="139"/>
    </row>
    <row r="414" spans="1:26" ht="33.75" customHeight="1">
      <c r="A414" s="86"/>
      <c r="B414" s="87"/>
      <c r="C414" s="85"/>
      <c r="D414" s="86"/>
      <c r="E414" s="86"/>
      <c r="F414" s="86"/>
      <c r="G414" s="139"/>
      <c r="H414" s="139"/>
      <c r="I414" s="139"/>
      <c r="J414" s="139"/>
      <c r="K414" s="139"/>
      <c r="L414" s="139"/>
      <c r="M414" s="139"/>
      <c r="N414" s="139"/>
      <c r="O414" s="139"/>
      <c r="P414" s="139"/>
      <c r="Q414" s="139"/>
      <c r="R414" s="139"/>
      <c r="S414" s="139"/>
      <c r="T414" s="139"/>
      <c r="U414" s="139"/>
      <c r="V414" s="139"/>
      <c r="W414" s="139"/>
      <c r="X414" s="139"/>
      <c r="Y414" s="139"/>
      <c r="Z414" s="139"/>
    </row>
    <row r="415" spans="1:26" ht="33.75" customHeight="1">
      <c r="A415" s="86"/>
      <c r="B415" s="87"/>
      <c r="C415" s="85"/>
      <c r="D415" s="86"/>
      <c r="E415" s="86"/>
      <c r="F415" s="86"/>
      <c r="G415" s="139"/>
      <c r="H415" s="139"/>
      <c r="I415" s="139"/>
      <c r="J415" s="139"/>
      <c r="K415" s="139"/>
      <c r="L415" s="139"/>
      <c r="M415" s="139"/>
      <c r="N415" s="139"/>
      <c r="O415" s="139"/>
      <c r="P415" s="139"/>
      <c r="Q415" s="139"/>
      <c r="R415" s="139"/>
      <c r="S415" s="139"/>
      <c r="T415" s="139"/>
      <c r="U415" s="139"/>
      <c r="V415" s="139"/>
      <c r="W415" s="139"/>
      <c r="X415" s="139"/>
      <c r="Y415" s="139"/>
      <c r="Z415" s="139"/>
    </row>
    <row r="416" spans="1:26" ht="33.75" customHeight="1">
      <c r="A416" s="86"/>
      <c r="B416" s="87"/>
      <c r="C416" s="85"/>
      <c r="D416" s="86"/>
      <c r="E416" s="86"/>
      <c r="F416" s="86"/>
      <c r="G416" s="139"/>
      <c r="H416" s="139"/>
      <c r="I416" s="139"/>
      <c r="J416" s="139"/>
      <c r="K416" s="139"/>
      <c r="L416" s="139"/>
      <c r="M416" s="139"/>
      <c r="N416" s="139"/>
      <c r="O416" s="139"/>
      <c r="P416" s="139"/>
      <c r="Q416" s="139"/>
      <c r="R416" s="139"/>
      <c r="S416" s="139"/>
      <c r="T416" s="139"/>
      <c r="U416" s="139"/>
      <c r="V416" s="139"/>
      <c r="W416" s="139"/>
      <c r="X416" s="139"/>
      <c r="Y416" s="139"/>
      <c r="Z416" s="139"/>
    </row>
    <row r="417" spans="1:26" ht="33.75" customHeight="1">
      <c r="A417" s="86"/>
      <c r="B417" s="87"/>
      <c r="C417" s="85"/>
      <c r="D417" s="86"/>
      <c r="E417" s="86"/>
      <c r="F417" s="86"/>
      <c r="G417" s="139"/>
      <c r="H417" s="139"/>
      <c r="I417" s="139"/>
      <c r="J417" s="139"/>
      <c r="K417" s="139"/>
      <c r="L417" s="139"/>
      <c r="M417" s="139"/>
      <c r="N417" s="139"/>
      <c r="O417" s="139"/>
      <c r="P417" s="139"/>
      <c r="Q417" s="139"/>
      <c r="R417" s="139"/>
      <c r="S417" s="139"/>
      <c r="T417" s="139"/>
      <c r="U417" s="139"/>
      <c r="V417" s="139"/>
      <c r="W417" s="139"/>
      <c r="X417" s="139"/>
      <c r="Y417" s="139"/>
      <c r="Z417" s="139"/>
    </row>
    <row r="418" spans="1:26" ht="33.75" customHeight="1">
      <c r="A418" s="86"/>
      <c r="B418" s="87"/>
      <c r="C418" s="85"/>
      <c r="D418" s="86"/>
      <c r="E418" s="86"/>
      <c r="F418" s="86"/>
      <c r="G418" s="139"/>
      <c r="H418" s="139"/>
      <c r="I418" s="139"/>
      <c r="J418" s="139"/>
      <c r="K418" s="139"/>
      <c r="L418" s="139"/>
      <c r="M418" s="139"/>
      <c r="N418" s="139"/>
      <c r="O418" s="139"/>
      <c r="P418" s="139"/>
      <c r="Q418" s="139"/>
      <c r="R418" s="139"/>
      <c r="S418" s="139"/>
      <c r="T418" s="139"/>
      <c r="U418" s="139"/>
      <c r="V418" s="139"/>
      <c r="W418" s="139"/>
      <c r="X418" s="139"/>
      <c r="Y418" s="139"/>
      <c r="Z418" s="139"/>
    </row>
    <row r="419" spans="1:26" ht="33.75" customHeight="1">
      <c r="A419" s="86"/>
      <c r="B419" s="87"/>
      <c r="C419" s="85"/>
      <c r="D419" s="86"/>
      <c r="E419" s="86"/>
      <c r="F419" s="86"/>
      <c r="G419" s="139"/>
      <c r="H419" s="139"/>
      <c r="I419" s="139"/>
      <c r="J419" s="139"/>
      <c r="K419" s="139"/>
      <c r="L419" s="139"/>
      <c r="M419" s="139"/>
      <c r="N419" s="139"/>
      <c r="O419" s="139"/>
      <c r="P419" s="139"/>
      <c r="Q419" s="139"/>
      <c r="R419" s="139"/>
      <c r="S419" s="139"/>
      <c r="T419" s="139"/>
      <c r="U419" s="139"/>
      <c r="V419" s="139"/>
      <c r="W419" s="139"/>
      <c r="X419" s="139"/>
      <c r="Y419" s="139"/>
      <c r="Z419" s="139"/>
    </row>
    <row r="420" spans="1:26" ht="33.75" customHeight="1">
      <c r="A420" s="86"/>
      <c r="B420" s="87"/>
      <c r="C420" s="85"/>
      <c r="D420" s="86"/>
      <c r="E420" s="86"/>
      <c r="F420" s="86"/>
      <c r="G420" s="139"/>
      <c r="H420" s="139"/>
      <c r="I420" s="139"/>
      <c r="J420" s="139"/>
      <c r="K420" s="139"/>
      <c r="L420" s="139"/>
      <c r="M420" s="139"/>
      <c r="N420" s="139"/>
      <c r="O420" s="139"/>
      <c r="P420" s="139"/>
      <c r="Q420" s="139"/>
      <c r="R420" s="139"/>
      <c r="S420" s="139"/>
      <c r="T420" s="139"/>
      <c r="U420" s="139"/>
      <c r="V420" s="139"/>
      <c r="W420" s="139"/>
      <c r="X420" s="139"/>
      <c r="Y420" s="139"/>
      <c r="Z420" s="139"/>
    </row>
    <row r="421" spans="1:26" ht="33.75" customHeight="1">
      <c r="A421" s="86"/>
      <c r="B421" s="87"/>
      <c r="C421" s="85"/>
      <c r="D421" s="86"/>
      <c r="E421" s="86"/>
      <c r="F421" s="86"/>
      <c r="G421" s="139"/>
      <c r="H421" s="139"/>
      <c r="I421" s="139"/>
      <c r="J421" s="139"/>
      <c r="K421" s="139"/>
      <c r="L421" s="139"/>
      <c r="M421" s="139"/>
      <c r="N421" s="139"/>
      <c r="O421" s="139"/>
      <c r="P421" s="139"/>
      <c r="Q421" s="139"/>
      <c r="R421" s="139"/>
      <c r="S421" s="139"/>
      <c r="T421" s="139"/>
      <c r="U421" s="139"/>
      <c r="V421" s="139"/>
      <c r="W421" s="139"/>
      <c r="X421" s="139"/>
      <c r="Y421" s="139"/>
      <c r="Z421" s="139"/>
    </row>
    <row r="422" spans="1:26" ht="33.75" customHeight="1">
      <c r="A422" s="86"/>
      <c r="B422" s="87"/>
      <c r="C422" s="85"/>
      <c r="D422" s="86"/>
      <c r="E422" s="86"/>
      <c r="F422" s="86"/>
      <c r="G422" s="139"/>
      <c r="H422" s="139"/>
      <c r="I422" s="139"/>
      <c r="J422" s="139"/>
      <c r="K422" s="139"/>
      <c r="L422" s="139"/>
      <c r="M422" s="139"/>
      <c r="N422" s="139"/>
      <c r="O422" s="139"/>
      <c r="P422" s="139"/>
      <c r="Q422" s="139"/>
      <c r="R422" s="139"/>
      <c r="S422" s="139"/>
      <c r="T422" s="139"/>
      <c r="U422" s="139"/>
      <c r="V422" s="139"/>
      <c r="W422" s="139"/>
      <c r="X422" s="139"/>
      <c r="Y422" s="139"/>
      <c r="Z422" s="139"/>
    </row>
    <row r="423" spans="1:26" ht="33.75" customHeight="1">
      <c r="A423" s="86"/>
      <c r="B423" s="87"/>
      <c r="C423" s="85"/>
      <c r="D423" s="86"/>
      <c r="E423" s="86"/>
      <c r="F423" s="86"/>
      <c r="G423" s="139"/>
      <c r="H423" s="139"/>
      <c r="I423" s="139"/>
      <c r="J423" s="139"/>
      <c r="K423" s="139"/>
      <c r="L423" s="139"/>
      <c r="M423" s="139"/>
      <c r="N423" s="139"/>
      <c r="O423" s="139"/>
      <c r="P423" s="139"/>
      <c r="Q423" s="139"/>
      <c r="R423" s="139"/>
      <c r="S423" s="139"/>
      <c r="T423" s="139"/>
      <c r="U423" s="139"/>
      <c r="V423" s="139"/>
      <c r="W423" s="139"/>
      <c r="X423" s="139"/>
      <c r="Y423" s="139"/>
      <c r="Z423" s="139"/>
    </row>
    <row r="424" spans="1:26" ht="33.75" customHeight="1">
      <c r="A424" s="86"/>
      <c r="B424" s="87"/>
      <c r="C424" s="85"/>
      <c r="D424" s="86"/>
      <c r="E424" s="86"/>
      <c r="F424" s="86"/>
      <c r="G424" s="139"/>
      <c r="H424" s="139"/>
      <c r="I424" s="139"/>
      <c r="J424" s="139"/>
      <c r="K424" s="139"/>
      <c r="L424" s="139"/>
      <c r="M424" s="139"/>
      <c r="N424" s="139"/>
      <c r="O424" s="139"/>
      <c r="P424" s="139"/>
      <c r="Q424" s="139"/>
      <c r="R424" s="139"/>
      <c r="S424" s="139"/>
      <c r="T424" s="139"/>
      <c r="U424" s="139"/>
      <c r="V424" s="139"/>
      <c r="W424" s="139"/>
      <c r="X424" s="139"/>
      <c r="Y424" s="139"/>
      <c r="Z424" s="139"/>
    </row>
    <row r="425" spans="1:26" ht="33.75" customHeight="1">
      <c r="A425" s="86"/>
      <c r="B425" s="87"/>
      <c r="C425" s="85"/>
      <c r="D425" s="86"/>
      <c r="E425" s="86"/>
      <c r="F425" s="86"/>
      <c r="G425" s="139"/>
      <c r="H425" s="139"/>
      <c r="I425" s="139"/>
      <c r="J425" s="139"/>
      <c r="K425" s="139"/>
      <c r="L425" s="139"/>
      <c r="M425" s="139"/>
      <c r="N425" s="139"/>
      <c r="O425" s="139"/>
      <c r="P425" s="139"/>
      <c r="Q425" s="139"/>
      <c r="R425" s="139"/>
      <c r="S425" s="139"/>
      <c r="T425" s="139"/>
      <c r="U425" s="139"/>
      <c r="V425" s="139"/>
      <c r="W425" s="139"/>
      <c r="X425" s="139"/>
      <c r="Y425" s="139"/>
      <c r="Z425" s="139"/>
    </row>
    <row r="426" spans="1:26" ht="33.75" customHeight="1">
      <c r="A426" s="86"/>
      <c r="B426" s="87"/>
      <c r="C426" s="85"/>
      <c r="D426" s="86"/>
      <c r="E426" s="86"/>
      <c r="F426" s="86"/>
      <c r="G426" s="139"/>
      <c r="H426" s="139"/>
      <c r="I426" s="139"/>
      <c r="J426" s="139"/>
      <c r="K426" s="139"/>
      <c r="L426" s="139"/>
      <c r="M426" s="139"/>
      <c r="N426" s="139"/>
      <c r="O426" s="139"/>
      <c r="P426" s="139"/>
      <c r="Q426" s="139"/>
      <c r="R426" s="139"/>
      <c r="S426" s="139"/>
      <c r="T426" s="139"/>
      <c r="U426" s="139"/>
      <c r="V426" s="139"/>
      <c r="W426" s="139"/>
      <c r="X426" s="139"/>
      <c r="Y426" s="139"/>
      <c r="Z426" s="139"/>
    </row>
    <row r="427" spans="1:26" ht="33.75" customHeight="1">
      <c r="A427" s="86"/>
      <c r="B427" s="87"/>
      <c r="C427" s="85"/>
      <c r="D427" s="86"/>
      <c r="E427" s="86"/>
      <c r="F427" s="86"/>
      <c r="G427" s="139"/>
      <c r="H427" s="139"/>
      <c r="I427" s="139"/>
      <c r="J427" s="139"/>
      <c r="K427" s="139"/>
      <c r="L427" s="139"/>
      <c r="M427" s="139"/>
      <c r="N427" s="139"/>
      <c r="O427" s="139"/>
      <c r="P427" s="139"/>
      <c r="Q427" s="139"/>
      <c r="R427" s="139"/>
      <c r="S427" s="139"/>
      <c r="T427" s="139"/>
      <c r="U427" s="139"/>
      <c r="V427" s="139"/>
      <c r="W427" s="139"/>
      <c r="X427" s="139"/>
      <c r="Y427" s="139"/>
      <c r="Z427" s="139"/>
    </row>
    <row r="428" spans="1:26" ht="33.75" customHeight="1">
      <c r="A428" s="86"/>
      <c r="B428" s="87"/>
      <c r="C428" s="85"/>
      <c r="D428" s="86"/>
      <c r="E428" s="86"/>
      <c r="F428" s="86"/>
      <c r="G428" s="139"/>
      <c r="H428" s="139"/>
      <c r="I428" s="139"/>
      <c r="J428" s="139"/>
      <c r="K428" s="139"/>
      <c r="L428" s="139"/>
      <c r="M428" s="139"/>
      <c r="N428" s="139"/>
      <c r="O428" s="139"/>
      <c r="P428" s="139"/>
      <c r="Q428" s="139"/>
      <c r="R428" s="139"/>
      <c r="S428" s="139"/>
      <c r="T428" s="139"/>
      <c r="U428" s="139"/>
      <c r="V428" s="139"/>
      <c r="W428" s="139"/>
      <c r="X428" s="139"/>
      <c r="Y428" s="139"/>
      <c r="Z428" s="139"/>
    </row>
    <row r="429" spans="1:26" ht="33.75" customHeight="1">
      <c r="A429" s="86"/>
      <c r="B429" s="87"/>
      <c r="C429" s="85"/>
      <c r="D429" s="86"/>
      <c r="E429" s="86"/>
      <c r="F429" s="86"/>
      <c r="G429" s="139"/>
      <c r="H429" s="139"/>
      <c r="I429" s="139"/>
      <c r="J429" s="139"/>
      <c r="K429" s="139"/>
      <c r="L429" s="139"/>
      <c r="M429" s="139"/>
      <c r="N429" s="139"/>
      <c r="O429" s="139"/>
      <c r="P429" s="139"/>
      <c r="Q429" s="139"/>
      <c r="R429" s="139"/>
      <c r="S429" s="139"/>
      <c r="T429" s="139"/>
      <c r="U429" s="139"/>
      <c r="V429" s="139"/>
      <c r="W429" s="139"/>
      <c r="X429" s="139"/>
      <c r="Y429" s="139"/>
      <c r="Z429" s="139"/>
    </row>
    <row r="430" spans="1:26" ht="33.75" customHeight="1">
      <c r="A430" s="86"/>
      <c r="B430" s="87"/>
      <c r="C430" s="85"/>
      <c r="D430" s="86"/>
      <c r="E430" s="86"/>
      <c r="F430" s="86"/>
      <c r="G430" s="139"/>
      <c r="H430" s="139"/>
      <c r="I430" s="139"/>
      <c r="J430" s="139"/>
      <c r="K430" s="139"/>
      <c r="L430" s="139"/>
      <c r="M430" s="139"/>
      <c r="N430" s="139"/>
      <c r="O430" s="139"/>
      <c r="P430" s="139"/>
      <c r="Q430" s="139"/>
      <c r="R430" s="139"/>
      <c r="S430" s="139"/>
      <c r="T430" s="139"/>
      <c r="U430" s="139"/>
      <c r="V430" s="139"/>
      <c r="W430" s="139"/>
      <c r="X430" s="139"/>
      <c r="Y430" s="139"/>
      <c r="Z430" s="139"/>
    </row>
    <row r="431" spans="1:26" ht="33.75" customHeight="1">
      <c r="A431" s="86"/>
      <c r="B431" s="87"/>
      <c r="C431" s="85"/>
      <c r="D431" s="86"/>
      <c r="E431" s="86"/>
      <c r="F431" s="86"/>
      <c r="G431" s="139"/>
      <c r="H431" s="139"/>
      <c r="I431" s="139"/>
      <c r="J431" s="139"/>
      <c r="K431" s="139"/>
      <c r="L431" s="139"/>
      <c r="M431" s="139"/>
      <c r="N431" s="139"/>
      <c r="O431" s="139"/>
      <c r="P431" s="139"/>
      <c r="Q431" s="139"/>
      <c r="R431" s="139"/>
      <c r="S431" s="139"/>
      <c r="T431" s="139"/>
      <c r="U431" s="139"/>
      <c r="V431" s="139"/>
      <c r="W431" s="139"/>
      <c r="X431" s="139"/>
      <c r="Y431" s="139"/>
      <c r="Z431" s="139"/>
    </row>
    <row r="432" spans="1:26" ht="33.75" customHeight="1">
      <c r="A432" s="86"/>
      <c r="B432" s="87"/>
      <c r="C432" s="85"/>
      <c r="D432" s="86"/>
      <c r="E432" s="86"/>
      <c r="F432" s="86"/>
      <c r="G432" s="139"/>
      <c r="H432" s="139"/>
      <c r="I432" s="139"/>
      <c r="J432" s="139"/>
      <c r="K432" s="139"/>
      <c r="L432" s="139"/>
      <c r="M432" s="139"/>
      <c r="N432" s="139"/>
      <c r="O432" s="139"/>
      <c r="P432" s="139"/>
      <c r="Q432" s="139"/>
      <c r="R432" s="139"/>
      <c r="S432" s="139"/>
      <c r="T432" s="139"/>
      <c r="U432" s="139"/>
      <c r="V432" s="139"/>
      <c r="W432" s="139"/>
      <c r="X432" s="139"/>
      <c r="Y432" s="139"/>
      <c r="Z432" s="139"/>
    </row>
    <row r="433" spans="1:26" ht="33.75" customHeight="1">
      <c r="A433" s="86"/>
      <c r="B433" s="87"/>
      <c r="C433" s="85"/>
      <c r="D433" s="86"/>
      <c r="E433" s="86"/>
      <c r="F433" s="86"/>
      <c r="G433" s="139"/>
      <c r="H433" s="139"/>
      <c r="I433" s="139"/>
      <c r="J433" s="139"/>
      <c r="K433" s="139"/>
      <c r="L433" s="139"/>
      <c r="M433" s="139"/>
      <c r="N433" s="139"/>
      <c r="O433" s="139"/>
      <c r="P433" s="139"/>
      <c r="Q433" s="139"/>
      <c r="R433" s="139"/>
      <c r="S433" s="139"/>
      <c r="T433" s="139"/>
      <c r="U433" s="139"/>
      <c r="V433" s="139"/>
      <c r="W433" s="139"/>
      <c r="X433" s="139"/>
      <c r="Y433" s="139"/>
      <c r="Z433" s="139"/>
    </row>
    <row r="434" spans="1:26" ht="33.75" customHeight="1">
      <c r="A434" s="86"/>
      <c r="B434" s="87"/>
      <c r="C434" s="85"/>
      <c r="D434" s="86"/>
      <c r="E434" s="86"/>
      <c r="F434" s="86"/>
      <c r="G434" s="139"/>
      <c r="H434" s="139"/>
      <c r="I434" s="139"/>
      <c r="J434" s="139"/>
      <c r="K434" s="139"/>
      <c r="L434" s="139"/>
      <c r="M434" s="139"/>
      <c r="N434" s="139"/>
      <c r="O434" s="139"/>
      <c r="P434" s="139"/>
      <c r="Q434" s="139"/>
      <c r="R434" s="139"/>
      <c r="S434" s="139"/>
      <c r="T434" s="139"/>
      <c r="U434" s="139"/>
      <c r="V434" s="139"/>
      <c r="W434" s="139"/>
      <c r="X434" s="139"/>
      <c r="Y434" s="139"/>
      <c r="Z434" s="139"/>
    </row>
    <row r="435" spans="1:26" ht="33.75" customHeight="1">
      <c r="A435" s="86"/>
      <c r="B435" s="87"/>
      <c r="C435" s="85"/>
      <c r="D435" s="86"/>
      <c r="E435" s="86"/>
      <c r="F435" s="86"/>
      <c r="G435" s="139"/>
      <c r="H435" s="139"/>
      <c r="I435" s="139"/>
      <c r="J435" s="139"/>
      <c r="K435" s="139"/>
      <c r="L435" s="139"/>
      <c r="M435" s="139"/>
      <c r="N435" s="139"/>
      <c r="O435" s="139"/>
      <c r="P435" s="139"/>
      <c r="Q435" s="139"/>
      <c r="R435" s="139"/>
      <c r="S435" s="139"/>
      <c r="T435" s="139"/>
      <c r="U435" s="139"/>
      <c r="V435" s="139"/>
      <c r="W435" s="139"/>
      <c r="X435" s="139"/>
      <c r="Y435" s="139"/>
      <c r="Z435" s="139"/>
    </row>
    <row r="436" spans="1:26" ht="33.75" customHeight="1">
      <c r="A436" s="86"/>
      <c r="B436" s="87"/>
      <c r="C436" s="85"/>
      <c r="D436" s="86"/>
      <c r="E436" s="86"/>
      <c r="F436" s="86"/>
      <c r="G436" s="139"/>
      <c r="H436" s="139"/>
      <c r="I436" s="139"/>
      <c r="J436" s="139"/>
      <c r="K436" s="139"/>
      <c r="L436" s="139"/>
      <c r="M436" s="139"/>
      <c r="N436" s="139"/>
      <c r="O436" s="139"/>
      <c r="P436" s="139"/>
      <c r="Q436" s="139"/>
      <c r="R436" s="139"/>
      <c r="S436" s="139"/>
      <c r="T436" s="139"/>
      <c r="U436" s="139"/>
      <c r="V436" s="139"/>
      <c r="W436" s="139"/>
      <c r="X436" s="139"/>
      <c r="Y436" s="139"/>
      <c r="Z436" s="139"/>
    </row>
    <row r="437" spans="1:26" ht="33.75" customHeight="1">
      <c r="A437" s="86"/>
      <c r="B437" s="87"/>
      <c r="C437" s="85"/>
      <c r="D437" s="86"/>
      <c r="E437" s="86"/>
      <c r="F437" s="86"/>
      <c r="G437" s="139"/>
      <c r="H437" s="139"/>
      <c r="I437" s="139"/>
      <c r="J437" s="139"/>
      <c r="K437" s="139"/>
      <c r="L437" s="139"/>
      <c r="M437" s="139"/>
      <c r="N437" s="139"/>
      <c r="O437" s="139"/>
      <c r="P437" s="139"/>
      <c r="Q437" s="139"/>
      <c r="R437" s="139"/>
      <c r="S437" s="139"/>
      <c r="T437" s="139"/>
      <c r="U437" s="139"/>
      <c r="V437" s="139"/>
      <c r="W437" s="139"/>
      <c r="X437" s="139"/>
      <c r="Y437" s="139"/>
      <c r="Z437" s="139"/>
    </row>
    <row r="438" spans="1:26" ht="33.75" customHeight="1">
      <c r="A438" s="86"/>
      <c r="B438" s="87"/>
      <c r="C438" s="85"/>
      <c r="D438" s="86"/>
      <c r="E438" s="86"/>
      <c r="F438" s="86"/>
      <c r="G438" s="139"/>
      <c r="H438" s="139"/>
      <c r="I438" s="139"/>
      <c r="J438" s="139"/>
      <c r="K438" s="139"/>
      <c r="L438" s="139"/>
      <c r="M438" s="139"/>
      <c r="N438" s="139"/>
      <c r="O438" s="139"/>
      <c r="P438" s="139"/>
      <c r="Q438" s="139"/>
      <c r="R438" s="139"/>
      <c r="S438" s="139"/>
      <c r="T438" s="139"/>
      <c r="U438" s="139"/>
      <c r="V438" s="139"/>
      <c r="W438" s="139"/>
      <c r="X438" s="139"/>
      <c r="Y438" s="139"/>
      <c r="Z438" s="139"/>
    </row>
    <row r="439" spans="1:26" ht="33.75" customHeight="1">
      <c r="A439" s="86"/>
      <c r="B439" s="87"/>
      <c r="C439" s="85"/>
      <c r="D439" s="86"/>
      <c r="E439" s="86"/>
      <c r="F439" s="86"/>
      <c r="G439" s="139"/>
      <c r="H439" s="139"/>
      <c r="I439" s="139"/>
      <c r="J439" s="139"/>
      <c r="K439" s="139"/>
      <c r="L439" s="139"/>
      <c r="M439" s="139"/>
      <c r="N439" s="139"/>
      <c r="O439" s="139"/>
      <c r="P439" s="139"/>
      <c r="Q439" s="139"/>
      <c r="R439" s="139"/>
      <c r="S439" s="139"/>
      <c r="T439" s="139"/>
      <c r="U439" s="139"/>
      <c r="V439" s="139"/>
      <c r="W439" s="139"/>
      <c r="X439" s="139"/>
      <c r="Y439" s="139"/>
      <c r="Z439" s="139"/>
    </row>
    <row r="440" spans="1:26" ht="33.75" customHeight="1">
      <c r="A440" s="86"/>
      <c r="B440" s="87"/>
      <c r="C440" s="85"/>
      <c r="D440" s="86"/>
      <c r="E440" s="86"/>
      <c r="F440" s="86"/>
      <c r="G440" s="139"/>
      <c r="H440" s="139"/>
      <c r="I440" s="139"/>
      <c r="J440" s="139"/>
      <c r="K440" s="139"/>
      <c r="L440" s="139"/>
      <c r="M440" s="139"/>
      <c r="N440" s="139"/>
      <c r="O440" s="139"/>
      <c r="P440" s="139"/>
      <c r="Q440" s="139"/>
      <c r="R440" s="139"/>
      <c r="S440" s="139"/>
      <c r="T440" s="139"/>
      <c r="U440" s="139"/>
      <c r="V440" s="139"/>
      <c r="W440" s="139"/>
      <c r="X440" s="139"/>
      <c r="Y440" s="139"/>
      <c r="Z440" s="139"/>
    </row>
    <row r="441" spans="1:26" ht="33.75" customHeight="1">
      <c r="A441" s="86"/>
      <c r="B441" s="87"/>
      <c r="C441" s="85"/>
      <c r="D441" s="86"/>
      <c r="E441" s="86"/>
      <c r="F441" s="86"/>
      <c r="G441" s="139"/>
      <c r="H441" s="139"/>
      <c r="I441" s="139"/>
      <c r="J441" s="139"/>
      <c r="K441" s="139"/>
      <c r="L441" s="139"/>
      <c r="M441" s="139"/>
      <c r="N441" s="139"/>
      <c r="O441" s="139"/>
      <c r="P441" s="139"/>
      <c r="Q441" s="139"/>
      <c r="R441" s="139"/>
      <c r="S441" s="139"/>
      <c r="T441" s="139"/>
      <c r="U441" s="139"/>
      <c r="V441" s="139"/>
      <c r="W441" s="139"/>
      <c r="X441" s="139"/>
      <c r="Y441" s="139"/>
      <c r="Z441" s="139"/>
    </row>
    <row r="442" spans="1:26" ht="33.75" customHeight="1">
      <c r="A442" s="86"/>
      <c r="B442" s="87"/>
      <c r="C442" s="85"/>
      <c r="D442" s="86"/>
      <c r="E442" s="86"/>
      <c r="F442" s="86"/>
      <c r="G442" s="139"/>
      <c r="H442" s="139"/>
      <c r="I442" s="139"/>
      <c r="J442" s="139"/>
      <c r="K442" s="139"/>
      <c r="L442" s="139"/>
      <c r="M442" s="139"/>
      <c r="N442" s="139"/>
      <c r="O442" s="139"/>
      <c r="P442" s="139"/>
      <c r="Q442" s="139"/>
      <c r="R442" s="139"/>
      <c r="S442" s="139"/>
      <c r="T442" s="139"/>
      <c r="U442" s="139"/>
      <c r="V442" s="139"/>
      <c r="W442" s="139"/>
      <c r="X442" s="139"/>
      <c r="Y442" s="139"/>
      <c r="Z442" s="139"/>
    </row>
    <row r="443" spans="1:26" ht="33.75" customHeight="1">
      <c r="A443" s="86"/>
      <c r="B443" s="87"/>
      <c r="C443" s="85"/>
      <c r="D443" s="86"/>
      <c r="E443" s="86"/>
      <c r="F443" s="86"/>
      <c r="G443" s="139"/>
      <c r="H443" s="139"/>
      <c r="I443" s="139"/>
      <c r="J443" s="139"/>
      <c r="K443" s="139"/>
      <c r="L443" s="139"/>
      <c r="M443" s="139"/>
      <c r="N443" s="139"/>
      <c r="O443" s="139"/>
      <c r="P443" s="139"/>
      <c r="Q443" s="139"/>
      <c r="R443" s="139"/>
      <c r="S443" s="139"/>
      <c r="T443" s="139"/>
      <c r="U443" s="139"/>
      <c r="V443" s="139"/>
      <c r="W443" s="139"/>
      <c r="X443" s="139"/>
      <c r="Y443" s="139"/>
      <c r="Z443" s="139"/>
    </row>
    <row r="444" spans="1:26" ht="33.75" customHeight="1">
      <c r="A444" s="86"/>
      <c r="B444" s="87"/>
      <c r="C444" s="85"/>
      <c r="D444" s="86"/>
      <c r="E444" s="86"/>
      <c r="F444" s="86"/>
      <c r="G444" s="139"/>
      <c r="H444" s="139"/>
      <c r="I444" s="139"/>
      <c r="J444" s="139"/>
      <c r="K444" s="139"/>
      <c r="L444" s="139"/>
      <c r="M444" s="139"/>
      <c r="N444" s="139"/>
      <c r="O444" s="139"/>
      <c r="P444" s="139"/>
      <c r="Q444" s="139"/>
      <c r="R444" s="139"/>
      <c r="S444" s="139"/>
      <c r="T444" s="139"/>
      <c r="U444" s="139"/>
      <c r="V444" s="139"/>
      <c r="W444" s="139"/>
      <c r="X444" s="139"/>
      <c r="Y444" s="139"/>
      <c r="Z444" s="139"/>
    </row>
    <row r="445" spans="1:26" ht="33.75" customHeight="1">
      <c r="A445" s="86"/>
      <c r="B445" s="87"/>
      <c r="C445" s="85"/>
      <c r="D445" s="86"/>
      <c r="E445" s="86"/>
      <c r="F445" s="86"/>
      <c r="G445" s="139"/>
      <c r="H445" s="139"/>
      <c r="I445" s="139"/>
      <c r="J445" s="139"/>
      <c r="K445" s="139"/>
      <c r="L445" s="139"/>
      <c r="M445" s="139"/>
      <c r="N445" s="139"/>
      <c r="O445" s="139"/>
      <c r="P445" s="139"/>
      <c r="Q445" s="139"/>
      <c r="R445" s="139"/>
      <c r="S445" s="139"/>
      <c r="T445" s="139"/>
      <c r="U445" s="139"/>
      <c r="V445" s="139"/>
      <c r="W445" s="139"/>
      <c r="X445" s="139"/>
      <c r="Y445" s="139"/>
      <c r="Z445" s="139"/>
    </row>
    <row r="446" spans="1:26" ht="33.75" customHeight="1">
      <c r="A446" s="86"/>
      <c r="B446" s="87"/>
      <c r="C446" s="85"/>
      <c r="D446" s="86"/>
      <c r="E446" s="86"/>
      <c r="F446" s="86"/>
      <c r="G446" s="139"/>
      <c r="H446" s="139"/>
      <c r="I446" s="139"/>
      <c r="J446" s="139"/>
      <c r="K446" s="139"/>
      <c r="L446" s="139"/>
      <c r="M446" s="139"/>
      <c r="N446" s="139"/>
      <c r="O446" s="139"/>
      <c r="P446" s="139"/>
      <c r="Q446" s="139"/>
      <c r="R446" s="139"/>
      <c r="S446" s="139"/>
      <c r="T446" s="139"/>
      <c r="U446" s="139"/>
      <c r="V446" s="139"/>
      <c r="W446" s="139"/>
      <c r="X446" s="139"/>
      <c r="Y446" s="139"/>
      <c r="Z446" s="139"/>
    </row>
    <row r="447" spans="1:26" ht="33.75" customHeight="1">
      <c r="A447" s="86"/>
      <c r="B447" s="87"/>
      <c r="C447" s="85"/>
      <c r="D447" s="86"/>
      <c r="E447" s="86"/>
      <c r="F447" s="86"/>
      <c r="G447" s="139"/>
      <c r="H447" s="139"/>
      <c r="I447" s="139"/>
      <c r="J447" s="139"/>
      <c r="K447" s="139"/>
      <c r="L447" s="139"/>
      <c r="M447" s="139"/>
      <c r="N447" s="139"/>
      <c r="O447" s="139"/>
      <c r="P447" s="139"/>
      <c r="Q447" s="139"/>
      <c r="R447" s="139"/>
      <c r="S447" s="139"/>
      <c r="T447" s="139"/>
      <c r="U447" s="139"/>
      <c r="V447" s="139"/>
      <c r="W447" s="139"/>
      <c r="X447" s="139"/>
      <c r="Y447" s="139"/>
      <c r="Z447" s="139"/>
    </row>
    <row r="448" spans="1:26" ht="33.75" customHeight="1">
      <c r="A448" s="86"/>
      <c r="B448" s="87"/>
      <c r="C448" s="85"/>
      <c r="D448" s="86"/>
      <c r="E448" s="86"/>
      <c r="F448" s="86"/>
      <c r="G448" s="139"/>
      <c r="H448" s="139"/>
      <c r="I448" s="139"/>
      <c r="J448" s="139"/>
      <c r="K448" s="139"/>
      <c r="L448" s="139"/>
      <c r="M448" s="139"/>
      <c r="N448" s="139"/>
      <c r="O448" s="139"/>
      <c r="P448" s="139"/>
      <c r="Q448" s="139"/>
      <c r="R448" s="139"/>
      <c r="S448" s="139"/>
      <c r="T448" s="139"/>
      <c r="U448" s="139"/>
      <c r="V448" s="139"/>
      <c r="W448" s="139"/>
      <c r="X448" s="139"/>
      <c r="Y448" s="139"/>
      <c r="Z448" s="139"/>
    </row>
    <row r="449" spans="1:26" ht="33.75" customHeight="1">
      <c r="A449" s="86"/>
      <c r="B449" s="87"/>
      <c r="C449" s="85"/>
      <c r="D449" s="86"/>
      <c r="E449" s="86"/>
      <c r="F449" s="86"/>
      <c r="G449" s="139"/>
      <c r="H449" s="139"/>
      <c r="I449" s="139"/>
      <c r="J449" s="139"/>
      <c r="K449" s="139"/>
      <c r="L449" s="139"/>
      <c r="M449" s="139"/>
      <c r="N449" s="139"/>
      <c r="O449" s="139"/>
      <c r="P449" s="139"/>
      <c r="Q449" s="139"/>
      <c r="R449" s="139"/>
      <c r="S449" s="139"/>
      <c r="T449" s="139"/>
      <c r="U449" s="139"/>
      <c r="V449" s="139"/>
      <c r="W449" s="139"/>
      <c r="X449" s="139"/>
      <c r="Y449" s="139"/>
      <c r="Z449" s="139"/>
    </row>
    <row r="450" spans="1:26" ht="33.75" customHeight="1">
      <c r="A450" s="86"/>
      <c r="B450" s="87"/>
      <c r="C450" s="85"/>
      <c r="D450" s="86"/>
      <c r="E450" s="86"/>
      <c r="F450" s="86"/>
      <c r="G450" s="139"/>
      <c r="H450" s="139"/>
      <c r="I450" s="139"/>
      <c r="J450" s="139"/>
      <c r="K450" s="139"/>
      <c r="L450" s="139"/>
      <c r="M450" s="139"/>
      <c r="N450" s="139"/>
      <c r="O450" s="139"/>
      <c r="P450" s="139"/>
      <c r="Q450" s="139"/>
      <c r="R450" s="139"/>
      <c r="S450" s="139"/>
      <c r="T450" s="139"/>
      <c r="U450" s="139"/>
      <c r="V450" s="139"/>
      <c r="W450" s="139"/>
      <c r="X450" s="139"/>
      <c r="Y450" s="139"/>
      <c r="Z450" s="139"/>
    </row>
    <row r="451" spans="1:26" ht="33.75" customHeight="1">
      <c r="A451" s="86"/>
      <c r="B451" s="87"/>
      <c r="C451" s="85"/>
      <c r="D451" s="86"/>
      <c r="E451" s="86"/>
      <c r="F451" s="86"/>
      <c r="G451" s="139"/>
      <c r="H451" s="139"/>
      <c r="I451" s="139"/>
      <c r="J451" s="139"/>
      <c r="K451" s="139"/>
      <c r="L451" s="139"/>
      <c r="M451" s="139"/>
      <c r="N451" s="139"/>
      <c r="O451" s="139"/>
      <c r="P451" s="139"/>
      <c r="Q451" s="139"/>
      <c r="R451" s="139"/>
      <c r="S451" s="139"/>
      <c r="T451" s="139"/>
      <c r="U451" s="139"/>
      <c r="V451" s="139"/>
      <c r="W451" s="139"/>
      <c r="X451" s="139"/>
      <c r="Y451" s="139"/>
      <c r="Z451" s="139"/>
    </row>
    <row r="452" spans="1:26" ht="33.75" customHeight="1">
      <c r="A452" s="86"/>
      <c r="B452" s="87"/>
      <c r="C452" s="85"/>
      <c r="D452" s="86"/>
      <c r="E452" s="86"/>
      <c r="F452" s="86"/>
      <c r="G452" s="139"/>
      <c r="H452" s="139"/>
      <c r="I452" s="139"/>
      <c r="J452" s="139"/>
      <c r="K452" s="139"/>
      <c r="L452" s="139"/>
      <c r="M452" s="139"/>
      <c r="N452" s="139"/>
      <c r="O452" s="139"/>
      <c r="P452" s="139"/>
      <c r="Q452" s="139"/>
      <c r="R452" s="139"/>
      <c r="S452" s="139"/>
      <c r="T452" s="139"/>
      <c r="U452" s="139"/>
      <c r="V452" s="139"/>
      <c r="W452" s="139"/>
      <c r="X452" s="139"/>
      <c r="Y452" s="139"/>
      <c r="Z452" s="139"/>
    </row>
    <row r="453" spans="1:26" ht="33.75" customHeight="1">
      <c r="A453" s="86"/>
      <c r="B453" s="87"/>
      <c r="C453" s="85"/>
      <c r="D453" s="86"/>
      <c r="E453" s="86"/>
      <c r="F453" s="86"/>
      <c r="G453" s="139"/>
      <c r="H453" s="139"/>
      <c r="I453" s="139"/>
      <c r="J453" s="139"/>
      <c r="K453" s="139"/>
      <c r="L453" s="139"/>
      <c r="M453" s="139"/>
      <c r="N453" s="139"/>
      <c r="O453" s="139"/>
      <c r="P453" s="139"/>
      <c r="Q453" s="139"/>
      <c r="R453" s="139"/>
      <c r="S453" s="139"/>
      <c r="T453" s="139"/>
      <c r="U453" s="139"/>
      <c r="V453" s="139"/>
      <c r="W453" s="139"/>
      <c r="X453" s="139"/>
      <c r="Y453" s="139"/>
      <c r="Z453" s="139"/>
    </row>
    <row r="454" spans="1:26" ht="33.75" customHeight="1">
      <c r="A454" s="86"/>
      <c r="B454" s="87"/>
      <c r="C454" s="85"/>
      <c r="D454" s="86"/>
      <c r="E454" s="86"/>
      <c r="F454" s="86"/>
      <c r="G454" s="139"/>
      <c r="H454" s="139"/>
      <c r="I454" s="139"/>
      <c r="J454" s="139"/>
      <c r="K454" s="139"/>
      <c r="L454" s="139"/>
      <c r="M454" s="139"/>
      <c r="N454" s="139"/>
      <c r="O454" s="139"/>
      <c r="P454" s="139"/>
      <c r="Q454" s="139"/>
      <c r="R454" s="139"/>
      <c r="S454" s="139"/>
      <c r="T454" s="139"/>
      <c r="U454" s="139"/>
      <c r="V454" s="139"/>
      <c r="W454" s="139"/>
      <c r="X454" s="139"/>
      <c r="Y454" s="139"/>
      <c r="Z454" s="139"/>
    </row>
    <row r="455" spans="1:26" ht="33.75" customHeight="1">
      <c r="A455" s="86"/>
      <c r="B455" s="87"/>
      <c r="C455" s="85"/>
      <c r="D455" s="86"/>
      <c r="E455" s="86"/>
      <c r="F455" s="86"/>
      <c r="G455" s="139"/>
      <c r="H455" s="139"/>
      <c r="I455" s="139"/>
      <c r="J455" s="139"/>
      <c r="K455" s="139"/>
      <c r="L455" s="139"/>
      <c r="M455" s="139"/>
      <c r="N455" s="139"/>
      <c r="O455" s="139"/>
      <c r="P455" s="139"/>
      <c r="Q455" s="139"/>
      <c r="R455" s="139"/>
      <c r="S455" s="139"/>
      <c r="T455" s="139"/>
      <c r="U455" s="139"/>
      <c r="V455" s="139"/>
      <c r="W455" s="139"/>
      <c r="X455" s="139"/>
      <c r="Y455" s="139"/>
      <c r="Z455" s="139"/>
    </row>
    <row r="456" spans="1:26" ht="33.75" customHeight="1">
      <c r="A456" s="86"/>
      <c r="B456" s="87"/>
      <c r="C456" s="85"/>
      <c r="D456" s="86"/>
      <c r="E456" s="86"/>
      <c r="F456" s="86"/>
      <c r="G456" s="139"/>
      <c r="H456" s="139"/>
      <c r="I456" s="139"/>
      <c r="J456" s="139"/>
      <c r="K456" s="139"/>
      <c r="L456" s="139"/>
      <c r="M456" s="139"/>
      <c r="N456" s="139"/>
      <c r="O456" s="139"/>
      <c r="P456" s="139"/>
      <c r="Q456" s="139"/>
      <c r="R456" s="139"/>
      <c r="S456" s="139"/>
      <c r="T456" s="139"/>
      <c r="U456" s="139"/>
      <c r="V456" s="139"/>
      <c r="W456" s="139"/>
      <c r="X456" s="139"/>
      <c r="Y456" s="139"/>
      <c r="Z456" s="139"/>
    </row>
    <row r="457" spans="1:26" ht="33.75" customHeight="1">
      <c r="A457" s="86"/>
      <c r="B457" s="87"/>
      <c r="C457" s="85"/>
      <c r="D457" s="86"/>
      <c r="E457" s="86"/>
      <c r="F457" s="86"/>
      <c r="G457" s="139"/>
      <c r="H457" s="139"/>
      <c r="I457" s="139"/>
      <c r="J457" s="139"/>
      <c r="K457" s="139"/>
      <c r="L457" s="139"/>
      <c r="M457" s="139"/>
      <c r="N457" s="139"/>
      <c r="O457" s="139"/>
      <c r="P457" s="139"/>
      <c r="Q457" s="139"/>
      <c r="R457" s="139"/>
      <c r="S457" s="139"/>
      <c r="T457" s="139"/>
      <c r="U457" s="139"/>
      <c r="V457" s="139"/>
      <c r="W457" s="139"/>
      <c r="X457" s="139"/>
      <c r="Y457" s="139"/>
      <c r="Z457" s="139"/>
    </row>
    <row r="458" spans="1:26" ht="33.75" customHeight="1">
      <c r="A458" s="86"/>
      <c r="B458" s="87"/>
      <c r="C458" s="85"/>
      <c r="D458" s="86"/>
      <c r="E458" s="86"/>
      <c r="F458" s="86"/>
      <c r="G458" s="139"/>
      <c r="H458" s="139"/>
      <c r="I458" s="139"/>
      <c r="J458" s="139"/>
      <c r="K458" s="139"/>
      <c r="L458" s="139"/>
      <c r="M458" s="139"/>
      <c r="N458" s="139"/>
      <c r="O458" s="139"/>
      <c r="P458" s="139"/>
      <c r="Q458" s="139"/>
      <c r="R458" s="139"/>
      <c r="S458" s="139"/>
      <c r="T458" s="139"/>
      <c r="U458" s="139"/>
      <c r="V458" s="139"/>
      <c r="W458" s="139"/>
      <c r="X458" s="139"/>
      <c r="Y458" s="139"/>
      <c r="Z458" s="139"/>
    </row>
    <row r="459" spans="1:26" ht="33.75" customHeight="1">
      <c r="A459" s="86"/>
      <c r="B459" s="87"/>
      <c r="C459" s="85"/>
      <c r="D459" s="86"/>
      <c r="E459" s="86"/>
      <c r="F459" s="86"/>
      <c r="G459" s="139"/>
      <c r="H459" s="139"/>
      <c r="I459" s="139"/>
      <c r="J459" s="139"/>
      <c r="K459" s="139"/>
      <c r="L459" s="139"/>
      <c r="M459" s="139"/>
      <c r="N459" s="139"/>
      <c r="O459" s="139"/>
      <c r="P459" s="139"/>
      <c r="Q459" s="139"/>
      <c r="R459" s="139"/>
      <c r="S459" s="139"/>
      <c r="T459" s="139"/>
      <c r="U459" s="139"/>
      <c r="V459" s="139"/>
      <c r="W459" s="139"/>
      <c r="X459" s="139"/>
      <c r="Y459" s="139"/>
      <c r="Z459" s="139"/>
    </row>
    <row r="460" spans="1:26" ht="33.75" customHeight="1">
      <c r="A460" s="86"/>
      <c r="B460" s="87"/>
      <c r="C460" s="85"/>
      <c r="D460" s="86"/>
      <c r="E460" s="86"/>
      <c r="F460" s="86"/>
      <c r="G460" s="139"/>
      <c r="H460" s="139"/>
      <c r="I460" s="139"/>
      <c r="J460" s="139"/>
      <c r="K460" s="139"/>
      <c r="L460" s="139"/>
      <c r="M460" s="139"/>
      <c r="N460" s="139"/>
      <c r="O460" s="139"/>
      <c r="P460" s="139"/>
      <c r="Q460" s="139"/>
      <c r="R460" s="139"/>
      <c r="S460" s="139"/>
      <c r="T460" s="139"/>
      <c r="U460" s="139"/>
      <c r="V460" s="139"/>
      <c r="W460" s="139"/>
      <c r="X460" s="139"/>
      <c r="Y460" s="139"/>
      <c r="Z460" s="139"/>
    </row>
    <row r="461" spans="1:26" ht="33.75" customHeight="1">
      <c r="A461" s="86"/>
      <c r="B461" s="87"/>
      <c r="C461" s="85"/>
      <c r="D461" s="86"/>
      <c r="E461" s="86"/>
      <c r="F461" s="86"/>
      <c r="G461" s="139"/>
      <c r="H461" s="139"/>
      <c r="I461" s="139"/>
      <c r="J461" s="139"/>
      <c r="K461" s="139"/>
      <c r="L461" s="139"/>
      <c r="M461" s="139"/>
      <c r="N461" s="139"/>
      <c r="O461" s="139"/>
      <c r="P461" s="139"/>
      <c r="Q461" s="139"/>
      <c r="R461" s="139"/>
      <c r="S461" s="139"/>
      <c r="T461" s="139"/>
      <c r="U461" s="139"/>
      <c r="V461" s="139"/>
      <c r="W461" s="139"/>
      <c r="X461" s="139"/>
      <c r="Y461" s="139"/>
      <c r="Z461" s="139"/>
    </row>
    <row r="462" spans="1:26" ht="33.75" customHeight="1">
      <c r="A462" s="86"/>
      <c r="B462" s="87"/>
      <c r="C462" s="85"/>
      <c r="D462" s="86"/>
      <c r="E462" s="86"/>
      <c r="F462" s="86"/>
      <c r="G462" s="139"/>
      <c r="H462" s="139"/>
      <c r="I462" s="139"/>
      <c r="J462" s="139"/>
      <c r="K462" s="139"/>
      <c r="L462" s="139"/>
      <c r="M462" s="139"/>
      <c r="N462" s="139"/>
      <c r="O462" s="139"/>
      <c r="P462" s="139"/>
      <c r="Q462" s="139"/>
      <c r="R462" s="139"/>
      <c r="S462" s="139"/>
      <c r="T462" s="139"/>
      <c r="U462" s="139"/>
      <c r="V462" s="139"/>
      <c r="W462" s="139"/>
      <c r="X462" s="139"/>
      <c r="Y462" s="139"/>
      <c r="Z462" s="139"/>
    </row>
    <row r="463" spans="1:26" ht="33.75" customHeight="1">
      <c r="A463" s="86"/>
      <c r="B463" s="87"/>
      <c r="C463" s="85"/>
      <c r="D463" s="86"/>
      <c r="E463" s="86"/>
      <c r="F463" s="86"/>
      <c r="G463" s="139"/>
      <c r="H463" s="139"/>
      <c r="I463" s="139"/>
      <c r="J463" s="139"/>
      <c r="K463" s="139"/>
      <c r="L463" s="139"/>
      <c r="M463" s="139"/>
      <c r="N463" s="139"/>
      <c r="O463" s="139"/>
      <c r="P463" s="139"/>
      <c r="Q463" s="139"/>
      <c r="R463" s="139"/>
      <c r="S463" s="139"/>
      <c r="T463" s="139"/>
      <c r="U463" s="139"/>
      <c r="V463" s="139"/>
      <c r="W463" s="139"/>
      <c r="X463" s="139"/>
      <c r="Y463" s="139"/>
      <c r="Z463" s="139"/>
    </row>
    <row r="464" spans="1:26" ht="33.75" customHeight="1">
      <c r="A464" s="86"/>
      <c r="B464" s="87"/>
      <c r="C464" s="85"/>
      <c r="D464" s="86"/>
      <c r="E464" s="86"/>
      <c r="F464" s="86"/>
      <c r="G464" s="139"/>
      <c r="H464" s="139"/>
      <c r="I464" s="139"/>
      <c r="J464" s="139"/>
      <c r="K464" s="139"/>
      <c r="L464" s="139"/>
      <c r="M464" s="139"/>
      <c r="N464" s="139"/>
      <c r="O464" s="139"/>
      <c r="P464" s="139"/>
      <c r="Q464" s="139"/>
      <c r="R464" s="139"/>
      <c r="S464" s="139"/>
      <c r="T464" s="139"/>
      <c r="U464" s="139"/>
      <c r="V464" s="139"/>
      <c r="W464" s="139"/>
      <c r="X464" s="139"/>
      <c r="Y464" s="139"/>
      <c r="Z464" s="139"/>
    </row>
    <row r="465" spans="1:26" ht="33.75" customHeight="1">
      <c r="A465" s="86"/>
      <c r="B465" s="87"/>
      <c r="C465" s="85"/>
      <c r="D465" s="86"/>
      <c r="E465" s="86"/>
      <c r="F465" s="86"/>
      <c r="G465" s="139"/>
      <c r="H465" s="139"/>
      <c r="I465" s="139"/>
      <c r="J465" s="139"/>
      <c r="K465" s="139"/>
      <c r="L465" s="139"/>
      <c r="M465" s="139"/>
      <c r="N465" s="139"/>
      <c r="O465" s="139"/>
      <c r="P465" s="139"/>
      <c r="Q465" s="139"/>
      <c r="R465" s="139"/>
      <c r="S465" s="139"/>
      <c r="T465" s="139"/>
      <c r="U465" s="139"/>
      <c r="V465" s="139"/>
      <c r="W465" s="139"/>
      <c r="X465" s="139"/>
      <c r="Y465" s="139"/>
      <c r="Z465" s="139"/>
    </row>
    <row r="466" spans="1:26" ht="33.75" customHeight="1">
      <c r="A466" s="86"/>
      <c r="B466" s="87"/>
      <c r="C466" s="85"/>
      <c r="D466" s="86"/>
      <c r="E466" s="86"/>
      <c r="F466" s="86"/>
      <c r="G466" s="139"/>
      <c r="H466" s="139"/>
      <c r="I466" s="139"/>
      <c r="J466" s="139"/>
      <c r="K466" s="139"/>
      <c r="L466" s="139"/>
      <c r="M466" s="139"/>
      <c r="N466" s="139"/>
      <c r="O466" s="139"/>
      <c r="P466" s="139"/>
      <c r="Q466" s="139"/>
      <c r="R466" s="139"/>
      <c r="S466" s="139"/>
      <c r="T466" s="139"/>
      <c r="U466" s="139"/>
      <c r="V466" s="139"/>
      <c r="W466" s="139"/>
      <c r="X466" s="139"/>
      <c r="Y466" s="139"/>
      <c r="Z466" s="139"/>
    </row>
    <row r="467" spans="1:26" ht="33.75" customHeight="1">
      <c r="A467" s="86"/>
      <c r="B467" s="87"/>
      <c r="C467" s="85"/>
      <c r="D467" s="86"/>
      <c r="E467" s="86"/>
      <c r="F467" s="86"/>
      <c r="G467" s="139"/>
      <c r="H467" s="139"/>
      <c r="I467" s="139"/>
      <c r="J467" s="139"/>
      <c r="K467" s="139"/>
      <c r="L467" s="139"/>
      <c r="M467" s="139"/>
      <c r="N467" s="139"/>
      <c r="O467" s="139"/>
      <c r="P467" s="139"/>
      <c r="Q467" s="139"/>
      <c r="R467" s="139"/>
      <c r="S467" s="139"/>
      <c r="T467" s="139"/>
      <c r="U467" s="139"/>
      <c r="V467" s="139"/>
      <c r="W467" s="139"/>
      <c r="X467" s="139"/>
      <c r="Y467" s="139"/>
      <c r="Z467" s="139"/>
    </row>
    <row r="468" spans="1:26" ht="33.75" customHeight="1">
      <c r="A468" s="86"/>
      <c r="B468" s="87"/>
      <c r="C468" s="85"/>
      <c r="D468" s="86"/>
      <c r="E468" s="86"/>
      <c r="F468" s="86"/>
      <c r="G468" s="139"/>
      <c r="H468" s="139"/>
      <c r="I468" s="139"/>
      <c r="J468" s="139"/>
      <c r="K468" s="139"/>
      <c r="L468" s="139"/>
      <c r="M468" s="139"/>
      <c r="N468" s="139"/>
      <c r="O468" s="139"/>
      <c r="P468" s="139"/>
      <c r="Q468" s="139"/>
      <c r="R468" s="139"/>
      <c r="S468" s="139"/>
      <c r="T468" s="139"/>
      <c r="U468" s="139"/>
      <c r="V468" s="139"/>
      <c r="W468" s="139"/>
      <c r="X468" s="139"/>
      <c r="Y468" s="139"/>
      <c r="Z468" s="139"/>
    </row>
    <row r="469" spans="1:26" ht="33.75" customHeight="1">
      <c r="A469" s="86"/>
      <c r="B469" s="87"/>
      <c r="C469" s="85"/>
      <c r="D469" s="86"/>
      <c r="E469" s="86"/>
      <c r="F469" s="86"/>
      <c r="G469" s="139"/>
      <c r="H469" s="139"/>
      <c r="I469" s="139"/>
      <c r="J469" s="139"/>
      <c r="K469" s="139"/>
      <c r="L469" s="139"/>
      <c r="M469" s="139"/>
      <c r="N469" s="139"/>
      <c r="O469" s="139"/>
      <c r="P469" s="139"/>
      <c r="Q469" s="139"/>
      <c r="R469" s="139"/>
      <c r="S469" s="139"/>
      <c r="T469" s="139"/>
      <c r="U469" s="139"/>
      <c r="V469" s="139"/>
      <c r="W469" s="139"/>
      <c r="X469" s="139"/>
      <c r="Y469" s="139"/>
      <c r="Z469" s="139"/>
    </row>
    <row r="470" spans="1:26" ht="33.75" customHeight="1">
      <c r="A470" s="86"/>
      <c r="B470" s="87"/>
      <c r="C470" s="85"/>
      <c r="D470" s="86"/>
      <c r="E470" s="86"/>
      <c r="F470" s="86"/>
      <c r="G470" s="139"/>
      <c r="H470" s="139"/>
      <c r="I470" s="139"/>
      <c r="J470" s="139"/>
      <c r="K470" s="139"/>
      <c r="L470" s="139"/>
      <c r="M470" s="139"/>
      <c r="N470" s="139"/>
      <c r="O470" s="139"/>
      <c r="P470" s="139"/>
      <c r="Q470" s="139"/>
      <c r="R470" s="139"/>
      <c r="S470" s="139"/>
      <c r="T470" s="139"/>
      <c r="U470" s="139"/>
      <c r="V470" s="139"/>
      <c r="W470" s="139"/>
      <c r="X470" s="139"/>
      <c r="Y470" s="139"/>
      <c r="Z470" s="139"/>
    </row>
    <row r="471" spans="1:26" ht="33.75" customHeight="1">
      <c r="A471" s="86"/>
      <c r="B471" s="87"/>
      <c r="C471" s="85"/>
      <c r="D471" s="86"/>
      <c r="E471" s="86"/>
      <c r="F471" s="86"/>
      <c r="G471" s="139"/>
      <c r="H471" s="139"/>
      <c r="I471" s="139"/>
      <c r="J471" s="139"/>
      <c r="K471" s="139"/>
      <c r="L471" s="139"/>
      <c r="M471" s="139"/>
      <c r="N471" s="139"/>
      <c r="O471" s="139"/>
      <c r="P471" s="139"/>
      <c r="Q471" s="139"/>
      <c r="R471" s="139"/>
      <c r="S471" s="139"/>
      <c r="T471" s="139"/>
      <c r="U471" s="139"/>
      <c r="V471" s="139"/>
      <c r="W471" s="139"/>
      <c r="X471" s="139"/>
      <c r="Y471" s="139"/>
      <c r="Z471" s="139"/>
    </row>
    <row r="472" spans="1:26" ht="33.75" customHeight="1">
      <c r="A472" s="86"/>
      <c r="B472" s="87"/>
      <c r="C472" s="85"/>
      <c r="D472" s="86"/>
      <c r="E472" s="86"/>
      <c r="F472" s="86"/>
      <c r="G472" s="139"/>
      <c r="H472" s="139"/>
      <c r="I472" s="139"/>
      <c r="J472" s="139"/>
      <c r="K472" s="139"/>
      <c r="L472" s="139"/>
      <c r="M472" s="139"/>
      <c r="N472" s="139"/>
      <c r="O472" s="139"/>
      <c r="P472" s="139"/>
      <c r="Q472" s="139"/>
      <c r="R472" s="139"/>
      <c r="S472" s="139"/>
      <c r="T472" s="139"/>
      <c r="U472" s="139"/>
      <c r="V472" s="139"/>
      <c r="W472" s="139"/>
      <c r="X472" s="139"/>
      <c r="Y472" s="139"/>
      <c r="Z472" s="139"/>
    </row>
    <row r="473" spans="1:26" ht="33.75" customHeight="1">
      <c r="A473" s="86"/>
      <c r="B473" s="87"/>
      <c r="C473" s="85"/>
      <c r="D473" s="86"/>
      <c r="E473" s="86"/>
      <c r="F473" s="86"/>
      <c r="G473" s="139"/>
      <c r="H473" s="139"/>
      <c r="I473" s="139"/>
      <c r="J473" s="139"/>
      <c r="K473" s="139"/>
      <c r="L473" s="139"/>
      <c r="M473" s="139"/>
      <c r="N473" s="139"/>
      <c r="O473" s="139"/>
      <c r="P473" s="139"/>
      <c r="Q473" s="139"/>
      <c r="R473" s="139"/>
      <c r="S473" s="139"/>
      <c r="T473" s="139"/>
      <c r="U473" s="139"/>
      <c r="V473" s="139"/>
      <c r="W473" s="139"/>
      <c r="X473" s="139"/>
      <c r="Y473" s="139"/>
      <c r="Z473" s="139"/>
    </row>
    <row r="474" spans="1:26" ht="33.75" customHeight="1">
      <c r="A474" s="86"/>
      <c r="B474" s="87"/>
      <c r="C474" s="85"/>
      <c r="D474" s="86"/>
      <c r="E474" s="86"/>
      <c r="F474" s="86"/>
      <c r="G474" s="139"/>
      <c r="H474" s="139"/>
      <c r="I474" s="139"/>
      <c r="J474" s="139"/>
      <c r="K474" s="139"/>
      <c r="L474" s="139"/>
      <c r="M474" s="139"/>
      <c r="N474" s="139"/>
      <c r="O474" s="139"/>
      <c r="P474" s="139"/>
      <c r="Q474" s="139"/>
      <c r="R474" s="139"/>
      <c r="S474" s="139"/>
      <c r="T474" s="139"/>
      <c r="U474" s="139"/>
      <c r="V474" s="139"/>
      <c r="W474" s="139"/>
      <c r="X474" s="139"/>
      <c r="Y474" s="139"/>
      <c r="Z474" s="139"/>
    </row>
    <row r="475" spans="1:26" ht="33.75" customHeight="1">
      <c r="A475" s="86"/>
      <c r="B475" s="87"/>
      <c r="C475" s="85"/>
      <c r="D475" s="86"/>
      <c r="E475" s="86"/>
      <c r="F475" s="86"/>
      <c r="G475" s="139"/>
      <c r="H475" s="139"/>
      <c r="I475" s="139"/>
      <c r="J475" s="139"/>
      <c r="K475" s="139"/>
      <c r="L475" s="139"/>
      <c r="M475" s="139"/>
      <c r="N475" s="139"/>
      <c r="O475" s="139"/>
      <c r="P475" s="139"/>
      <c r="Q475" s="139"/>
      <c r="R475" s="139"/>
      <c r="S475" s="139"/>
      <c r="T475" s="139"/>
      <c r="U475" s="139"/>
      <c r="V475" s="139"/>
      <c r="W475" s="139"/>
      <c r="X475" s="139"/>
      <c r="Y475" s="139"/>
      <c r="Z475" s="139"/>
    </row>
    <row r="476" spans="1:26" ht="33.75" customHeight="1">
      <c r="A476" s="86"/>
      <c r="B476" s="87"/>
      <c r="C476" s="85"/>
      <c r="D476" s="86"/>
      <c r="E476" s="86"/>
      <c r="F476" s="86"/>
      <c r="G476" s="139"/>
      <c r="H476" s="139"/>
      <c r="I476" s="139"/>
      <c r="J476" s="139"/>
      <c r="K476" s="139"/>
      <c r="L476" s="139"/>
      <c r="M476" s="139"/>
      <c r="N476" s="139"/>
      <c r="O476" s="139"/>
      <c r="P476" s="139"/>
      <c r="Q476" s="139"/>
      <c r="R476" s="139"/>
      <c r="S476" s="139"/>
      <c r="T476" s="139"/>
      <c r="U476" s="139"/>
      <c r="V476" s="139"/>
      <c r="W476" s="139"/>
      <c r="X476" s="139"/>
      <c r="Y476" s="139"/>
      <c r="Z476" s="139"/>
    </row>
    <row r="477" spans="1:26" ht="33.75" customHeight="1">
      <c r="A477" s="86"/>
      <c r="B477" s="87"/>
      <c r="C477" s="85"/>
      <c r="D477" s="86"/>
      <c r="E477" s="86"/>
      <c r="F477" s="86"/>
      <c r="G477" s="139"/>
      <c r="H477" s="139"/>
      <c r="I477" s="139"/>
      <c r="J477" s="139"/>
      <c r="K477" s="139"/>
      <c r="L477" s="139"/>
      <c r="M477" s="139"/>
      <c r="N477" s="139"/>
      <c r="O477" s="139"/>
      <c r="P477" s="139"/>
      <c r="Q477" s="139"/>
      <c r="R477" s="139"/>
      <c r="S477" s="139"/>
      <c r="T477" s="139"/>
      <c r="U477" s="139"/>
      <c r="V477" s="139"/>
      <c r="W477" s="139"/>
      <c r="X477" s="139"/>
      <c r="Y477" s="139"/>
      <c r="Z477" s="139"/>
    </row>
    <row r="478" spans="1:26" ht="33.75" customHeight="1">
      <c r="A478" s="86"/>
      <c r="B478" s="87"/>
      <c r="C478" s="85"/>
      <c r="D478" s="86"/>
      <c r="E478" s="86"/>
      <c r="F478" s="86"/>
      <c r="G478" s="139"/>
      <c r="H478" s="139"/>
      <c r="I478" s="139"/>
      <c r="J478" s="139"/>
      <c r="K478" s="139"/>
      <c r="L478" s="139"/>
      <c r="M478" s="139"/>
      <c r="N478" s="139"/>
      <c r="O478" s="139"/>
      <c r="P478" s="139"/>
      <c r="Q478" s="139"/>
      <c r="R478" s="139"/>
      <c r="S478" s="139"/>
      <c r="T478" s="139"/>
      <c r="U478" s="139"/>
      <c r="V478" s="139"/>
      <c r="W478" s="139"/>
      <c r="X478" s="139"/>
      <c r="Y478" s="139"/>
      <c r="Z478" s="139"/>
    </row>
    <row r="479" spans="1:26" ht="33.75" customHeight="1">
      <c r="A479" s="86"/>
      <c r="B479" s="87"/>
      <c r="C479" s="85"/>
      <c r="D479" s="86"/>
      <c r="E479" s="86"/>
      <c r="F479" s="86"/>
      <c r="G479" s="139"/>
      <c r="H479" s="139"/>
      <c r="I479" s="139"/>
      <c r="J479" s="139"/>
      <c r="K479" s="139"/>
      <c r="L479" s="139"/>
      <c r="M479" s="139"/>
      <c r="N479" s="139"/>
      <c r="O479" s="139"/>
      <c r="P479" s="139"/>
      <c r="Q479" s="139"/>
      <c r="R479" s="139"/>
      <c r="S479" s="139"/>
      <c r="T479" s="139"/>
      <c r="U479" s="139"/>
      <c r="V479" s="139"/>
      <c r="W479" s="139"/>
      <c r="X479" s="139"/>
      <c r="Y479" s="139"/>
      <c r="Z479" s="139"/>
    </row>
    <row r="480" spans="1:26" ht="33.75" customHeight="1">
      <c r="A480" s="86"/>
      <c r="B480" s="87"/>
      <c r="C480" s="85"/>
      <c r="D480" s="86"/>
      <c r="E480" s="86"/>
      <c r="F480" s="86"/>
      <c r="G480" s="139"/>
      <c r="H480" s="139"/>
      <c r="I480" s="139"/>
      <c r="J480" s="139"/>
      <c r="K480" s="139"/>
      <c r="L480" s="139"/>
      <c r="M480" s="139"/>
      <c r="N480" s="139"/>
      <c r="O480" s="139"/>
      <c r="P480" s="139"/>
      <c r="Q480" s="139"/>
      <c r="R480" s="139"/>
      <c r="S480" s="139"/>
      <c r="T480" s="139"/>
      <c r="U480" s="139"/>
      <c r="V480" s="139"/>
      <c r="W480" s="139"/>
      <c r="X480" s="139"/>
      <c r="Y480" s="139"/>
      <c r="Z480" s="139"/>
    </row>
    <row r="481" spans="1:26" ht="33.75" customHeight="1">
      <c r="A481" s="86"/>
      <c r="B481" s="87"/>
      <c r="C481" s="85"/>
      <c r="D481" s="86"/>
      <c r="E481" s="86"/>
      <c r="F481" s="86"/>
      <c r="G481" s="139"/>
      <c r="H481" s="139"/>
      <c r="I481" s="139"/>
      <c r="J481" s="139"/>
      <c r="K481" s="139"/>
      <c r="L481" s="139"/>
      <c r="M481" s="139"/>
      <c r="N481" s="139"/>
      <c r="O481" s="139"/>
      <c r="P481" s="139"/>
      <c r="Q481" s="139"/>
      <c r="R481" s="139"/>
      <c r="S481" s="139"/>
      <c r="T481" s="139"/>
      <c r="U481" s="139"/>
      <c r="V481" s="139"/>
      <c r="W481" s="139"/>
      <c r="X481" s="139"/>
      <c r="Y481" s="139"/>
      <c r="Z481" s="139"/>
    </row>
    <row r="482" spans="1:26" ht="33.75" customHeight="1">
      <c r="A482" s="86"/>
      <c r="B482" s="87"/>
      <c r="C482" s="85"/>
      <c r="D482" s="86"/>
      <c r="E482" s="86"/>
      <c r="F482" s="86"/>
      <c r="G482" s="139"/>
      <c r="H482" s="139"/>
      <c r="I482" s="139"/>
      <c r="J482" s="139"/>
      <c r="K482" s="139"/>
      <c r="L482" s="139"/>
      <c r="M482" s="139"/>
      <c r="N482" s="139"/>
      <c r="O482" s="139"/>
      <c r="P482" s="139"/>
      <c r="Q482" s="139"/>
      <c r="R482" s="139"/>
      <c r="S482" s="139"/>
      <c r="T482" s="139"/>
      <c r="U482" s="139"/>
      <c r="V482" s="139"/>
      <c r="W482" s="139"/>
      <c r="X482" s="139"/>
      <c r="Y482" s="139"/>
      <c r="Z482" s="139"/>
    </row>
    <row r="483" spans="1:26" ht="33.75" customHeight="1">
      <c r="A483" s="86"/>
      <c r="B483" s="87"/>
      <c r="C483" s="85"/>
      <c r="D483" s="86"/>
      <c r="E483" s="86"/>
      <c r="F483" s="86"/>
      <c r="G483" s="139"/>
      <c r="H483" s="139"/>
      <c r="I483" s="139"/>
      <c r="J483" s="139"/>
      <c r="K483" s="139"/>
      <c r="L483" s="139"/>
      <c r="M483" s="139"/>
      <c r="N483" s="139"/>
      <c r="O483" s="139"/>
      <c r="P483" s="139"/>
      <c r="Q483" s="139"/>
      <c r="R483" s="139"/>
      <c r="S483" s="139"/>
      <c r="T483" s="139"/>
      <c r="U483" s="139"/>
      <c r="V483" s="139"/>
      <c r="W483" s="139"/>
      <c r="X483" s="139"/>
      <c r="Y483" s="139"/>
      <c r="Z483" s="139"/>
    </row>
    <row r="484" spans="1:26" ht="33.75" customHeight="1">
      <c r="A484" s="86"/>
      <c r="B484" s="87"/>
      <c r="C484" s="85"/>
      <c r="D484" s="86"/>
      <c r="E484" s="86"/>
      <c r="F484" s="86"/>
      <c r="G484" s="139"/>
      <c r="H484" s="139"/>
      <c r="I484" s="139"/>
      <c r="J484" s="139"/>
      <c r="K484" s="139"/>
      <c r="L484" s="139"/>
      <c r="M484" s="139"/>
      <c r="N484" s="139"/>
      <c r="O484" s="139"/>
      <c r="P484" s="139"/>
      <c r="Q484" s="139"/>
      <c r="R484" s="139"/>
      <c r="S484" s="139"/>
      <c r="T484" s="139"/>
      <c r="U484" s="139"/>
      <c r="V484" s="139"/>
      <c r="W484" s="139"/>
      <c r="X484" s="139"/>
      <c r="Y484" s="139"/>
      <c r="Z484" s="139"/>
    </row>
    <row r="485" spans="1:26" ht="33.75" customHeight="1">
      <c r="A485" s="86"/>
      <c r="B485" s="87"/>
      <c r="C485" s="85"/>
      <c r="D485" s="86"/>
      <c r="E485" s="86"/>
      <c r="F485" s="86"/>
      <c r="G485" s="139"/>
      <c r="H485" s="139"/>
      <c r="I485" s="139"/>
      <c r="J485" s="139"/>
      <c r="K485" s="139"/>
      <c r="L485" s="139"/>
      <c r="M485" s="139"/>
      <c r="N485" s="139"/>
      <c r="O485" s="139"/>
      <c r="P485" s="139"/>
      <c r="Q485" s="139"/>
      <c r="R485" s="139"/>
      <c r="S485" s="139"/>
      <c r="T485" s="139"/>
      <c r="U485" s="139"/>
      <c r="V485" s="139"/>
      <c r="W485" s="139"/>
      <c r="X485" s="139"/>
      <c r="Y485" s="139"/>
      <c r="Z485" s="139"/>
    </row>
    <row r="486" spans="1:26" ht="33.75" customHeight="1">
      <c r="A486" s="86"/>
      <c r="B486" s="87"/>
      <c r="C486" s="85"/>
      <c r="D486" s="86"/>
      <c r="E486" s="86"/>
      <c r="F486" s="86"/>
      <c r="G486" s="139"/>
      <c r="H486" s="139"/>
      <c r="I486" s="139"/>
      <c r="J486" s="139"/>
      <c r="K486" s="139"/>
      <c r="L486" s="139"/>
      <c r="M486" s="139"/>
      <c r="N486" s="139"/>
      <c r="O486" s="139"/>
      <c r="P486" s="139"/>
      <c r="Q486" s="139"/>
      <c r="R486" s="139"/>
      <c r="S486" s="139"/>
      <c r="T486" s="139"/>
      <c r="U486" s="139"/>
      <c r="V486" s="139"/>
      <c r="W486" s="139"/>
      <c r="X486" s="139"/>
      <c r="Y486" s="139"/>
      <c r="Z486" s="139"/>
    </row>
    <row r="487" spans="1:26" ht="15.75" customHeight="1">
      <c r="A487" s="142"/>
      <c r="B487" s="141"/>
      <c r="C487" s="142"/>
      <c r="D487" s="142"/>
      <c r="E487" s="86"/>
      <c r="F487" s="86"/>
      <c r="G487" s="140"/>
      <c r="H487" s="140"/>
      <c r="I487" s="140"/>
      <c r="J487" s="140"/>
      <c r="K487" s="140"/>
      <c r="L487" s="140"/>
      <c r="M487" s="140"/>
      <c r="N487" s="140"/>
      <c r="O487" s="140"/>
      <c r="P487" s="140"/>
      <c r="Q487" s="140"/>
      <c r="R487" s="140"/>
      <c r="S487" s="140"/>
      <c r="T487" s="140"/>
      <c r="U487" s="140"/>
      <c r="V487" s="140"/>
      <c r="W487" s="140"/>
      <c r="X487" s="140"/>
      <c r="Y487" s="140"/>
      <c r="Z487" s="140"/>
    </row>
    <row r="488" spans="1:26" ht="15.75" customHeight="1">
      <c r="A488" s="142"/>
      <c r="B488" s="141"/>
      <c r="C488" s="142"/>
      <c r="D488" s="142"/>
      <c r="E488" s="86"/>
      <c r="F488" s="86"/>
      <c r="G488" s="140"/>
      <c r="H488" s="140"/>
      <c r="I488" s="140"/>
      <c r="J488" s="140"/>
      <c r="K488" s="140"/>
      <c r="L488" s="140"/>
      <c r="M488" s="140"/>
      <c r="N488" s="140"/>
      <c r="O488" s="140"/>
      <c r="P488" s="140"/>
      <c r="Q488" s="140"/>
      <c r="R488" s="140"/>
      <c r="S488" s="140"/>
      <c r="T488" s="140"/>
      <c r="U488" s="140"/>
      <c r="V488" s="140"/>
      <c r="W488" s="140"/>
      <c r="X488" s="140"/>
      <c r="Y488" s="140"/>
      <c r="Z488" s="140"/>
    </row>
    <row r="489" spans="1:26" ht="15.75" customHeight="1">
      <c r="A489" s="142"/>
      <c r="B489" s="141"/>
      <c r="C489" s="142"/>
      <c r="D489" s="142"/>
      <c r="E489" s="86"/>
      <c r="F489" s="86"/>
      <c r="G489" s="140"/>
      <c r="H489" s="140"/>
      <c r="I489" s="140"/>
      <c r="J489" s="140"/>
      <c r="K489" s="140"/>
      <c r="L489" s="140"/>
      <c r="M489" s="140"/>
      <c r="N489" s="140"/>
      <c r="O489" s="140"/>
      <c r="P489" s="140"/>
      <c r="Q489" s="140"/>
      <c r="R489" s="140"/>
      <c r="S489" s="140"/>
      <c r="T489" s="140"/>
      <c r="U489" s="140"/>
      <c r="V489" s="140"/>
      <c r="W489" s="140"/>
      <c r="X489" s="140"/>
      <c r="Y489" s="140"/>
      <c r="Z489" s="140"/>
    </row>
    <row r="490" spans="1:26" ht="15.75" customHeight="1">
      <c r="A490" s="142"/>
      <c r="B490" s="141"/>
      <c r="C490" s="142"/>
      <c r="D490" s="142"/>
      <c r="E490" s="86"/>
      <c r="F490" s="86"/>
      <c r="G490" s="140"/>
      <c r="H490" s="140"/>
      <c r="I490" s="140"/>
      <c r="J490" s="140"/>
      <c r="K490" s="140"/>
      <c r="L490" s="140"/>
      <c r="M490" s="140"/>
      <c r="N490" s="140"/>
      <c r="O490" s="140"/>
      <c r="P490" s="140"/>
      <c r="Q490" s="140"/>
      <c r="R490" s="140"/>
      <c r="S490" s="140"/>
      <c r="T490" s="140"/>
      <c r="U490" s="140"/>
      <c r="V490" s="140"/>
      <c r="W490" s="140"/>
      <c r="X490" s="140"/>
      <c r="Y490" s="140"/>
      <c r="Z490" s="140"/>
    </row>
    <row r="491" spans="1:26" ht="15.75" customHeight="1">
      <c r="A491" s="142"/>
      <c r="B491" s="141"/>
      <c r="C491" s="142"/>
      <c r="D491" s="142"/>
      <c r="E491" s="86"/>
      <c r="F491" s="86"/>
      <c r="G491" s="140"/>
      <c r="H491" s="140"/>
      <c r="I491" s="140"/>
      <c r="J491" s="140"/>
      <c r="K491" s="140"/>
      <c r="L491" s="140"/>
      <c r="M491" s="140"/>
      <c r="N491" s="140"/>
      <c r="O491" s="140"/>
      <c r="P491" s="140"/>
      <c r="Q491" s="140"/>
      <c r="R491" s="140"/>
      <c r="S491" s="140"/>
      <c r="T491" s="140"/>
      <c r="U491" s="140"/>
      <c r="V491" s="140"/>
      <c r="W491" s="140"/>
      <c r="X491" s="140"/>
      <c r="Y491" s="140"/>
      <c r="Z491" s="140"/>
    </row>
    <row r="492" spans="1:26" ht="15.75" customHeight="1">
      <c r="A492" s="142"/>
      <c r="B492" s="141"/>
      <c r="C492" s="142"/>
      <c r="D492" s="142"/>
      <c r="E492" s="86"/>
      <c r="F492" s="86"/>
      <c r="G492" s="140"/>
      <c r="H492" s="140"/>
      <c r="I492" s="140"/>
      <c r="J492" s="140"/>
      <c r="K492" s="140"/>
      <c r="L492" s="140"/>
      <c r="M492" s="140"/>
      <c r="N492" s="140"/>
      <c r="O492" s="140"/>
      <c r="P492" s="140"/>
      <c r="Q492" s="140"/>
      <c r="R492" s="140"/>
      <c r="S492" s="140"/>
      <c r="T492" s="140"/>
      <c r="U492" s="140"/>
      <c r="V492" s="140"/>
      <c r="W492" s="140"/>
      <c r="X492" s="140"/>
      <c r="Y492" s="140"/>
      <c r="Z492" s="140"/>
    </row>
    <row r="493" spans="1:26" ht="15.75" customHeight="1">
      <c r="A493" s="142"/>
      <c r="B493" s="141"/>
      <c r="C493" s="142"/>
      <c r="D493" s="142"/>
      <c r="E493" s="86"/>
      <c r="F493" s="86"/>
      <c r="G493" s="140"/>
      <c r="H493" s="140"/>
      <c r="I493" s="140"/>
      <c r="J493" s="140"/>
      <c r="K493" s="140"/>
      <c r="L493" s="140"/>
      <c r="M493" s="140"/>
      <c r="N493" s="140"/>
      <c r="O493" s="140"/>
      <c r="P493" s="140"/>
      <c r="Q493" s="140"/>
      <c r="R493" s="140"/>
      <c r="S493" s="140"/>
      <c r="T493" s="140"/>
      <c r="U493" s="140"/>
      <c r="V493" s="140"/>
      <c r="W493" s="140"/>
      <c r="X493" s="140"/>
      <c r="Y493" s="140"/>
      <c r="Z493" s="140"/>
    </row>
    <row r="494" spans="1:26" ht="15.75" customHeight="1">
      <c r="A494" s="142"/>
      <c r="B494" s="141"/>
      <c r="C494" s="142"/>
      <c r="D494" s="142"/>
      <c r="E494" s="86"/>
      <c r="F494" s="86"/>
      <c r="G494" s="140"/>
      <c r="H494" s="140"/>
      <c r="I494" s="140"/>
      <c r="J494" s="140"/>
      <c r="K494" s="140"/>
      <c r="L494" s="140"/>
      <c r="M494" s="140"/>
      <c r="N494" s="140"/>
      <c r="O494" s="140"/>
      <c r="P494" s="140"/>
      <c r="Q494" s="140"/>
      <c r="R494" s="140"/>
      <c r="S494" s="140"/>
      <c r="T494" s="140"/>
      <c r="U494" s="140"/>
      <c r="V494" s="140"/>
      <c r="W494" s="140"/>
      <c r="X494" s="140"/>
      <c r="Y494" s="140"/>
      <c r="Z494" s="140"/>
    </row>
    <row r="495" spans="1:26" ht="15.75" customHeight="1">
      <c r="A495" s="142"/>
      <c r="B495" s="141"/>
      <c r="C495" s="142"/>
      <c r="D495" s="142"/>
      <c r="E495" s="86"/>
      <c r="F495" s="86"/>
      <c r="G495" s="140"/>
      <c r="H495" s="140"/>
      <c r="I495" s="140"/>
      <c r="J495" s="140"/>
      <c r="K495" s="140"/>
      <c r="L495" s="140"/>
      <c r="M495" s="140"/>
      <c r="N495" s="140"/>
      <c r="O495" s="140"/>
      <c r="P495" s="140"/>
      <c r="Q495" s="140"/>
      <c r="R495" s="140"/>
      <c r="S495" s="140"/>
      <c r="T495" s="140"/>
      <c r="U495" s="140"/>
      <c r="V495" s="140"/>
      <c r="W495" s="140"/>
      <c r="X495" s="140"/>
      <c r="Y495" s="140"/>
      <c r="Z495" s="140"/>
    </row>
    <row r="496" spans="1:26" ht="15.75" customHeight="1">
      <c r="A496" s="142"/>
      <c r="B496" s="141"/>
      <c r="C496" s="142"/>
      <c r="D496" s="142"/>
      <c r="E496" s="86"/>
      <c r="F496" s="86"/>
      <c r="G496" s="140"/>
      <c r="H496" s="140"/>
      <c r="I496" s="140"/>
      <c r="J496" s="140"/>
      <c r="K496" s="140"/>
      <c r="L496" s="140"/>
      <c r="M496" s="140"/>
      <c r="N496" s="140"/>
      <c r="O496" s="140"/>
      <c r="P496" s="140"/>
      <c r="Q496" s="140"/>
      <c r="R496" s="140"/>
      <c r="S496" s="140"/>
      <c r="T496" s="140"/>
      <c r="U496" s="140"/>
      <c r="V496" s="140"/>
      <c r="W496" s="140"/>
      <c r="X496" s="140"/>
      <c r="Y496" s="140"/>
      <c r="Z496" s="140"/>
    </row>
    <row r="497" spans="1:26" ht="15.75" customHeight="1">
      <c r="A497" s="142"/>
      <c r="B497" s="141"/>
      <c r="C497" s="142"/>
      <c r="D497" s="142"/>
      <c r="E497" s="86"/>
      <c r="F497" s="86"/>
      <c r="G497" s="140"/>
      <c r="H497" s="140"/>
      <c r="I497" s="140"/>
      <c r="J497" s="140"/>
      <c r="K497" s="140"/>
      <c r="L497" s="140"/>
      <c r="M497" s="140"/>
      <c r="N497" s="140"/>
      <c r="O497" s="140"/>
      <c r="P497" s="140"/>
      <c r="Q497" s="140"/>
      <c r="R497" s="140"/>
      <c r="S497" s="140"/>
      <c r="T497" s="140"/>
      <c r="U497" s="140"/>
      <c r="V497" s="140"/>
      <c r="W497" s="140"/>
      <c r="X497" s="140"/>
      <c r="Y497" s="140"/>
      <c r="Z497" s="140"/>
    </row>
    <row r="498" spans="1:26" ht="15.75" customHeight="1">
      <c r="A498" s="142"/>
      <c r="B498" s="141"/>
      <c r="C498" s="142"/>
      <c r="D498" s="142"/>
      <c r="E498" s="86"/>
      <c r="F498" s="86"/>
      <c r="G498" s="140"/>
      <c r="H498" s="140"/>
      <c r="I498" s="140"/>
      <c r="J498" s="140"/>
      <c r="K498" s="140"/>
      <c r="L498" s="140"/>
      <c r="M498" s="140"/>
      <c r="N498" s="140"/>
      <c r="O498" s="140"/>
      <c r="P498" s="140"/>
      <c r="Q498" s="140"/>
      <c r="R498" s="140"/>
      <c r="S498" s="140"/>
      <c r="T498" s="140"/>
      <c r="U498" s="140"/>
      <c r="V498" s="140"/>
      <c r="W498" s="140"/>
      <c r="X498" s="140"/>
      <c r="Y498" s="140"/>
      <c r="Z498" s="140"/>
    </row>
    <row r="499" spans="1:26" ht="15.75" customHeight="1">
      <c r="A499" s="142"/>
      <c r="B499" s="141"/>
      <c r="C499" s="142"/>
      <c r="D499" s="142"/>
      <c r="E499" s="86"/>
      <c r="F499" s="86"/>
      <c r="G499" s="140"/>
      <c r="H499" s="140"/>
      <c r="I499" s="140"/>
      <c r="J499" s="140"/>
      <c r="K499" s="140"/>
      <c r="L499" s="140"/>
      <c r="M499" s="140"/>
      <c r="N499" s="140"/>
      <c r="O499" s="140"/>
      <c r="P499" s="140"/>
      <c r="Q499" s="140"/>
      <c r="R499" s="140"/>
      <c r="S499" s="140"/>
      <c r="T499" s="140"/>
      <c r="U499" s="140"/>
      <c r="V499" s="140"/>
      <c r="W499" s="140"/>
      <c r="X499" s="140"/>
      <c r="Y499" s="140"/>
      <c r="Z499" s="140"/>
    </row>
    <row r="500" spans="1:26" ht="15.75" customHeight="1">
      <c r="A500" s="142"/>
      <c r="B500" s="141"/>
      <c r="C500" s="142"/>
      <c r="D500" s="142"/>
      <c r="E500" s="86"/>
      <c r="F500" s="86"/>
      <c r="G500" s="140"/>
      <c r="H500" s="140"/>
      <c r="I500" s="140"/>
      <c r="J500" s="140"/>
      <c r="K500" s="140"/>
      <c r="L500" s="140"/>
      <c r="M500" s="140"/>
      <c r="N500" s="140"/>
      <c r="O500" s="140"/>
      <c r="P500" s="140"/>
      <c r="Q500" s="140"/>
      <c r="R500" s="140"/>
      <c r="S500" s="140"/>
      <c r="T500" s="140"/>
      <c r="U500" s="140"/>
      <c r="V500" s="140"/>
      <c r="W500" s="140"/>
      <c r="X500" s="140"/>
      <c r="Y500" s="140"/>
      <c r="Z500" s="140"/>
    </row>
    <row r="501" spans="1:26" ht="15.75" customHeight="1">
      <c r="A501" s="142"/>
      <c r="B501" s="141"/>
      <c r="C501" s="142"/>
      <c r="D501" s="142"/>
      <c r="E501" s="86"/>
      <c r="F501" s="86"/>
      <c r="G501" s="140"/>
      <c r="H501" s="140"/>
      <c r="I501" s="140"/>
      <c r="J501" s="140"/>
      <c r="K501" s="140"/>
      <c r="L501" s="140"/>
      <c r="M501" s="140"/>
      <c r="N501" s="140"/>
      <c r="O501" s="140"/>
      <c r="P501" s="140"/>
      <c r="Q501" s="140"/>
      <c r="R501" s="140"/>
      <c r="S501" s="140"/>
      <c r="T501" s="140"/>
      <c r="U501" s="140"/>
      <c r="V501" s="140"/>
      <c r="W501" s="140"/>
      <c r="X501" s="140"/>
      <c r="Y501" s="140"/>
      <c r="Z501" s="140"/>
    </row>
    <row r="502" spans="1:26" ht="15.75" customHeight="1">
      <c r="A502" s="142"/>
      <c r="B502" s="141"/>
      <c r="C502" s="142"/>
      <c r="D502" s="142"/>
      <c r="E502" s="86"/>
      <c r="F502" s="86"/>
      <c r="G502" s="140"/>
      <c r="H502" s="140"/>
      <c r="I502" s="140"/>
      <c r="J502" s="140"/>
      <c r="K502" s="140"/>
      <c r="L502" s="140"/>
      <c r="M502" s="140"/>
      <c r="N502" s="140"/>
      <c r="O502" s="140"/>
      <c r="P502" s="140"/>
      <c r="Q502" s="140"/>
      <c r="R502" s="140"/>
      <c r="S502" s="140"/>
      <c r="T502" s="140"/>
      <c r="U502" s="140"/>
      <c r="V502" s="140"/>
      <c r="W502" s="140"/>
      <c r="X502" s="140"/>
      <c r="Y502" s="140"/>
      <c r="Z502" s="140"/>
    </row>
    <row r="503" spans="1:26" ht="15.75" customHeight="1">
      <c r="A503" s="142"/>
      <c r="B503" s="141"/>
      <c r="C503" s="142"/>
      <c r="D503" s="142"/>
      <c r="E503" s="86"/>
      <c r="F503" s="86"/>
      <c r="G503" s="140"/>
      <c r="H503" s="140"/>
      <c r="I503" s="140"/>
      <c r="J503" s="140"/>
      <c r="K503" s="140"/>
      <c r="L503" s="140"/>
      <c r="M503" s="140"/>
      <c r="N503" s="140"/>
      <c r="O503" s="140"/>
      <c r="P503" s="140"/>
      <c r="Q503" s="140"/>
      <c r="R503" s="140"/>
      <c r="S503" s="140"/>
      <c r="T503" s="140"/>
      <c r="U503" s="140"/>
      <c r="V503" s="140"/>
      <c r="W503" s="140"/>
      <c r="X503" s="140"/>
      <c r="Y503" s="140"/>
      <c r="Z503" s="140"/>
    </row>
    <row r="504" spans="1:26" ht="15.75" customHeight="1">
      <c r="A504" s="142"/>
      <c r="B504" s="141"/>
      <c r="C504" s="142"/>
      <c r="D504" s="142"/>
      <c r="E504" s="86"/>
      <c r="F504" s="86"/>
      <c r="G504" s="140"/>
      <c r="H504" s="140"/>
      <c r="I504" s="140"/>
      <c r="J504" s="140"/>
      <c r="K504" s="140"/>
      <c r="L504" s="140"/>
      <c r="M504" s="140"/>
      <c r="N504" s="140"/>
      <c r="O504" s="140"/>
      <c r="P504" s="140"/>
      <c r="Q504" s="140"/>
      <c r="R504" s="140"/>
      <c r="S504" s="140"/>
      <c r="T504" s="140"/>
      <c r="U504" s="140"/>
      <c r="V504" s="140"/>
      <c r="W504" s="140"/>
      <c r="X504" s="140"/>
      <c r="Y504" s="140"/>
      <c r="Z504" s="140"/>
    </row>
    <row r="505" spans="1:26" ht="15.75" customHeight="1">
      <c r="A505" s="142"/>
      <c r="B505" s="141"/>
      <c r="C505" s="142"/>
      <c r="D505" s="142"/>
      <c r="E505" s="86"/>
      <c r="F505" s="86"/>
      <c r="G505" s="140"/>
      <c r="H505" s="140"/>
      <c r="I505" s="140"/>
      <c r="J505" s="140"/>
      <c r="K505" s="140"/>
      <c r="L505" s="140"/>
      <c r="M505" s="140"/>
      <c r="N505" s="140"/>
      <c r="O505" s="140"/>
      <c r="P505" s="140"/>
      <c r="Q505" s="140"/>
      <c r="R505" s="140"/>
      <c r="S505" s="140"/>
      <c r="T505" s="140"/>
      <c r="U505" s="140"/>
      <c r="V505" s="140"/>
      <c r="W505" s="140"/>
      <c r="X505" s="140"/>
      <c r="Y505" s="140"/>
      <c r="Z505" s="140"/>
    </row>
    <row r="506" spans="1:26" ht="15.75" customHeight="1">
      <c r="A506" s="142"/>
      <c r="B506" s="141"/>
      <c r="C506" s="142"/>
      <c r="D506" s="142"/>
      <c r="E506" s="86"/>
      <c r="F506" s="86"/>
      <c r="G506" s="140"/>
      <c r="H506" s="140"/>
      <c r="I506" s="140"/>
      <c r="J506" s="140"/>
      <c r="K506" s="140"/>
      <c r="L506" s="140"/>
      <c r="M506" s="140"/>
      <c r="N506" s="140"/>
      <c r="O506" s="140"/>
      <c r="P506" s="140"/>
      <c r="Q506" s="140"/>
      <c r="R506" s="140"/>
      <c r="S506" s="140"/>
      <c r="T506" s="140"/>
      <c r="U506" s="140"/>
      <c r="V506" s="140"/>
      <c r="W506" s="140"/>
      <c r="X506" s="140"/>
      <c r="Y506" s="140"/>
      <c r="Z506" s="140"/>
    </row>
    <row r="507" spans="1:26" ht="15.75" customHeight="1">
      <c r="A507" s="142"/>
      <c r="B507" s="141"/>
      <c r="C507" s="142"/>
      <c r="D507" s="142"/>
      <c r="E507" s="86"/>
      <c r="F507" s="86"/>
      <c r="G507" s="140"/>
      <c r="H507" s="140"/>
      <c r="I507" s="140"/>
      <c r="J507" s="140"/>
      <c r="K507" s="140"/>
      <c r="L507" s="140"/>
      <c r="M507" s="140"/>
      <c r="N507" s="140"/>
      <c r="O507" s="140"/>
      <c r="P507" s="140"/>
      <c r="Q507" s="140"/>
      <c r="R507" s="140"/>
      <c r="S507" s="140"/>
      <c r="T507" s="140"/>
      <c r="U507" s="140"/>
      <c r="V507" s="140"/>
      <c r="W507" s="140"/>
      <c r="X507" s="140"/>
      <c r="Y507" s="140"/>
      <c r="Z507" s="140"/>
    </row>
    <row r="508" spans="1:26" ht="15.75" customHeight="1">
      <c r="A508" s="142"/>
      <c r="B508" s="141"/>
      <c r="C508" s="142"/>
      <c r="D508" s="142"/>
      <c r="E508" s="86"/>
      <c r="F508" s="86"/>
      <c r="G508" s="140"/>
      <c r="H508" s="140"/>
      <c r="I508" s="140"/>
      <c r="J508" s="140"/>
      <c r="K508" s="140"/>
      <c r="L508" s="140"/>
      <c r="M508" s="140"/>
      <c r="N508" s="140"/>
      <c r="O508" s="140"/>
      <c r="P508" s="140"/>
      <c r="Q508" s="140"/>
      <c r="R508" s="140"/>
      <c r="S508" s="140"/>
      <c r="T508" s="140"/>
      <c r="U508" s="140"/>
      <c r="V508" s="140"/>
      <c r="W508" s="140"/>
      <c r="X508" s="140"/>
      <c r="Y508" s="140"/>
      <c r="Z508" s="140"/>
    </row>
    <row r="509" spans="1:26" ht="15.75" customHeight="1">
      <c r="A509" s="142"/>
      <c r="B509" s="141"/>
      <c r="C509" s="142"/>
      <c r="D509" s="142"/>
      <c r="E509" s="86"/>
      <c r="F509" s="86"/>
      <c r="G509" s="140"/>
      <c r="H509" s="140"/>
      <c r="I509" s="140"/>
      <c r="J509" s="140"/>
      <c r="K509" s="140"/>
      <c r="L509" s="140"/>
      <c r="M509" s="140"/>
      <c r="N509" s="140"/>
      <c r="O509" s="140"/>
      <c r="P509" s="140"/>
      <c r="Q509" s="140"/>
      <c r="R509" s="140"/>
      <c r="S509" s="140"/>
      <c r="T509" s="140"/>
      <c r="U509" s="140"/>
      <c r="V509" s="140"/>
      <c r="W509" s="140"/>
      <c r="X509" s="140"/>
      <c r="Y509" s="140"/>
      <c r="Z509" s="140"/>
    </row>
    <row r="510" spans="1:26" ht="15.75" customHeight="1">
      <c r="A510" s="142"/>
      <c r="B510" s="141"/>
      <c r="C510" s="142"/>
      <c r="D510" s="142"/>
      <c r="E510" s="86"/>
      <c r="F510" s="86"/>
      <c r="G510" s="140"/>
      <c r="H510" s="140"/>
      <c r="I510" s="140"/>
      <c r="J510" s="140"/>
      <c r="K510" s="140"/>
      <c r="L510" s="140"/>
      <c r="M510" s="140"/>
      <c r="N510" s="140"/>
      <c r="O510" s="140"/>
      <c r="P510" s="140"/>
      <c r="Q510" s="140"/>
      <c r="R510" s="140"/>
      <c r="S510" s="140"/>
      <c r="T510" s="140"/>
      <c r="U510" s="140"/>
      <c r="V510" s="140"/>
      <c r="W510" s="140"/>
      <c r="X510" s="140"/>
      <c r="Y510" s="140"/>
      <c r="Z510" s="140"/>
    </row>
    <row r="511" spans="1:26" ht="15.75" customHeight="1">
      <c r="A511" s="142"/>
      <c r="B511" s="141"/>
      <c r="C511" s="142"/>
      <c r="D511" s="142"/>
      <c r="E511" s="86"/>
      <c r="F511" s="86"/>
      <c r="G511" s="140"/>
      <c r="H511" s="140"/>
      <c r="I511" s="140"/>
      <c r="J511" s="140"/>
      <c r="K511" s="140"/>
      <c r="L511" s="140"/>
      <c r="M511" s="140"/>
      <c r="N511" s="140"/>
      <c r="O511" s="140"/>
      <c r="P511" s="140"/>
      <c r="Q511" s="140"/>
      <c r="R511" s="140"/>
      <c r="S511" s="140"/>
      <c r="T511" s="140"/>
      <c r="U511" s="140"/>
      <c r="V511" s="140"/>
      <c r="W511" s="140"/>
      <c r="X511" s="140"/>
      <c r="Y511" s="140"/>
      <c r="Z511" s="140"/>
    </row>
    <row r="512" spans="1:26" ht="15.75" customHeight="1">
      <c r="A512" s="142"/>
      <c r="B512" s="141"/>
      <c r="C512" s="142"/>
      <c r="D512" s="142"/>
      <c r="E512" s="86"/>
      <c r="F512" s="86"/>
      <c r="G512" s="140"/>
      <c r="H512" s="140"/>
      <c r="I512" s="140"/>
      <c r="J512" s="140"/>
      <c r="K512" s="140"/>
      <c r="L512" s="140"/>
      <c r="M512" s="140"/>
      <c r="N512" s="140"/>
      <c r="O512" s="140"/>
      <c r="P512" s="140"/>
      <c r="Q512" s="140"/>
      <c r="R512" s="140"/>
      <c r="S512" s="140"/>
      <c r="T512" s="140"/>
      <c r="U512" s="140"/>
      <c r="V512" s="140"/>
      <c r="W512" s="140"/>
      <c r="X512" s="140"/>
      <c r="Y512" s="140"/>
      <c r="Z512" s="140"/>
    </row>
    <row r="513" spans="1:26" ht="15.75" customHeight="1">
      <c r="A513" s="142"/>
      <c r="B513" s="141"/>
      <c r="C513" s="142"/>
      <c r="D513" s="142"/>
      <c r="E513" s="86"/>
      <c r="F513" s="86"/>
      <c r="G513" s="140"/>
      <c r="H513" s="140"/>
      <c r="I513" s="140"/>
      <c r="J513" s="140"/>
      <c r="K513" s="140"/>
      <c r="L513" s="140"/>
      <c r="M513" s="140"/>
      <c r="N513" s="140"/>
      <c r="O513" s="140"/>
      <c r="P513" s="140"/>
      <c r="Q513" s="140"/>
      <c r="R513" s="140"/>
      <c r="S513" s="140"/>
      <c r="T513" s="140"/>
      <c r="U513" s="140"/>
      <c r="V513" s="140"/>
      <c r="W513" s="140"/>
      <c r="X513" s="140"/>
      <c r="Y513" s="140"/>
      <c r="Z513" s="140"/>
    </row>
    <row r="514" spans="1:26" ht="15.75" customHeight="1">
      <c r="A514" s="142"/>
      <c r="B514" s="141"/>
      <c r="C514" s="142"/>
      <c r="D514" s="142"/>
      <c r="E514" s="86"/>
      <c r="F514" s="86"/>
      <c r="G514" s="140"/>
      <c r="H514" s="140"/>
      <c r="I514" s="140"/>
      <c r="J514" s="140"/>
      <c r="K514" s="140"/>
      <c r="L514" s="140"/>
      <c r="M514" s="140"/>
      <c r="N514" s="140"/>
      <c r="O514" s="140"/>
      <c r="P514" s="140"/>
      <c r="Q514" s="140"/>
      <c r="R514" s="140"/>
      <c r="S514" s="140"/>
      <c r="T514" s="140"/>
      <c r="U514" s="140"/>
      <c r="V514" s="140"/>
      <c r="W514" s="140"/>
      <c r="X514" s="140"/>
      <c r="Y514" s="140"/>
      <c r="Z514" s="140"/>
    </row>
    <row r="515" spans="1:26" ht="15.75" customHeight="1">
      <c r="A515" s="142"/>
      <c r="B515" s="141"/>
      <c r="C515" s="142"/>
      <c r="D515" s="142"/>
      <c r="E515" s="86"/>
      <c r="F515" s="86"/>
      <c r="G515" s="140"/>
      <c r="H515" s="140"/>
      <c r="I515" s="140"/>
      <c r="J515" s="140"/>
      <c r="K515" s="140"/>
      <c r="L515" s="140"/>
      <c r="M515" s="140"/>
      <c r="N515" s="140"/>
      <c r="O515" s="140"/>
      <c r="P515" s="140"/>
      <c r="Q515" s="140"/>
      <c r="R515" s="140"/>
      <c r="S515" s="140"/>
      <c r="T515" s="140"/>
      <c r="U515" s="140"/>
      <c r="V515" s="140"/>
      <c r="W515" s="140"/>
      <c r="X515" s="140"/>
      <c r="Y515" s="140"/>
      <c r="Z515" s="140"/>
    </row>
    <row r="516" spans="1:26" ht="15.75" customHeight="1">
      <c r="A516" s="142"/>
      <c r="B516" s="141"/>
      <c r="C516" s="142"/>
      <c r="D516" s="142"/>
      <c r="E516" s="86"/>
      <c r="F516" s="86"/>
      <c r="G516" s="140"/>
      <c r="H516" s="140"/>
      <c r="I516" s="140"/>
      <c r="J516" s="140"/>
      <c r="K516" s="140"/>
      <c r="L516" s="140"/>
      <c r="M516" s="140"/>
      <c r="N516" s="140"/>
      <c r="O516" s="140"/>
      <c r="P516" s="140"/>
      <c r="Q516" s="140"/>
      <c r="R516" s="140"/>
      <c r="S516" s="140"/>
      <c r="T516" s="140"/>
      <c r="U516" s="140"/>
      <c r="V516" s="140"/>
      <c r="W516" s="140"/>
      <c r="X516" s="140"/>
      <c r="Y516" s="140"/>
      <c r="Z516" s="140"/>
    </row>
    <row r="517" spans="1:26" ht="15.75" customHeight="1">
      <c r="A517" s="142"/>
      <c r="B517" s="141"/>
      <c r="C517" s="142"/>
      <c r="D517" s="142"/>
      <c r="E517" s="86"/>
      <c r="F517" s="86"/>
      <c r="G517" s="140"/>
      <c r="H517" s="140"/>
      <c r="I517" s="140"/>
      <c r="J517" s="140"/>
      <c r="K517" s="140"/>
      <c r="L517" s="140"/>
      <c r="M517" s="140"/>
      <c r="N517" s="140"/>
      <c r="O517" s="140"/>
      <c r="P517" s="140"/>
      <c r="Q517" s="140"/>
      <c r="R517" s="140"/>
      <c r="S517" s="140"/>
      <c r="T517" s="140"/>
      <c r="U517" s="140"/>
      <c r="V517" s="140"/>
      <c r="W517" s="140"/>
      <c r="X517" s="140"/>
      <c r="Y517" s="140"/>
      <c r="Z517" s="140"/>
    </row>
    <row r="518" spans="1:26" ht="15.75" customHeight="1">
      <c r="A518" s="142"/>
      <c r="B518" s="141"/>
      <c r="C518" s="142"/>
      <c r="D518" s="142"/>
      <c r="E518" s="86"/>
      <c r="F518" s="86"/>
      <c r="G518" s="140"/>
      <c r="H518" s="140"/>
      <c r="I518" s="140"/>
      <c r="J518" s="140"/>
      <c r="K518" s="140"/>
      <c r="L518" s="140"/>
      <c r="M518" s="140"/>
      <c r="N518" s="140"/>
      <c r="O518" s="140"/>
      <c r="P518" s="140"/>
      <c r="Q518" s="140"/>
      <c r="R518" s="140"/>
      <c r="S518" s="140"/>
      <c r="T518" s="140"/>
      <c r="U518" s="140"/>
      <c r="V518" s="140"/>
      <c r="W518" s="140"/>
      <c r="X518" s="140"/>
      <c r="Y518" s="140"/>
      <c r="Z518" s="140"/>
    </row>
    <row r="519" spans="1:26" ht="15.75" customHeight="1">
      <c r="A519" s="142"/>
      <c r="B519" s="141"/>
      <c r="C519" s="142"/>
      <c r="D519" s="142"/>
      <c r="E519" s="86"/>
      <c r="F519" s="86"/>
      <c r="G519" s="140"/>
      <c r="H519" s="140"/>
      <c r="I519" s="140"/>
      <c r="J519" s="140"/>
      <c r="K519" s="140"/>
      <c r="L519" s="140"/>
      <c r="M519" s="140"/>
      <c r="N519" s="140"/>
      <c r="O519" s="140"/>
      <c r="P519" s="140"/>
      <c r="Q519" s="140"/>
      <c r="R519" s="140"/>
      <c r="S519" s="140"/>
      <c r="T519" s="140"/>
      <c r="U519" s="140"/>
      <c r="V519" s="140"/>
      <c r="W519" s="140"/>
      <c r="X519" s="140"/>
      <c r="Y519" s="140"/>
      <c r="Z519" s="140"/>
    </row>
    <row r="520" spans="1:26" ht="15.75" customHeight="1">
      <c r="A520" s="142"/>
      <c r="B520" s="141"/>
      <c r="C520" s="142"/>
      <c r="D520" s="142"/>
      <c r="E520" s="86"/>
      <c r="F520" s="86"/>
      <c r="G520" s="140"/>
      <c r="H520" s="140"/>
      <c r="I520" s="140"/>
      <c r="J520" s="140"/>
      <c r="K520" s="140"/>
      <c r="L520" s="140"/>
      <c r="M520" s="140"/>
      <c r="N520" s="140"/>
      <c r="O520" s="140"/>
      <c r="P520" s="140"/>
      <c r="Q520" s="140"/>
      <c r="R520" s="140"/>
      <c r="S520" s="140"/>
      <c r="T520" s="140"/>
      <c r="U520" s="140"/>
      <c r="V520" s="140"/>
      <c r="W520" s="140"/>
      <c r="X520" s="140"/>
      <c r="Y520" s="140"/>
      <c r="Z520" s="140"/>
    </row>
    <row r="521" spans="1:26" ht="15.75" customHeight="1">
      <c r="A521" s="142"/>
      <c r="B521" s="141"/>
      <c r="C521" s="142"/>
      <c r="D521" s="142"/>
      <c r="E521" s="86"/>
      <c r="F521" s="86"/>
      <c r="G521" s="140"/>
      <c r="H521" s="140"/>
      <c r="I521" s="140"/>
      <c r="J521" s="140"/>
      <c r="K521" s="140"/>
      <c r="L521" s="140"/>
      <c r="M521" s="140"/>
      <c r="N521" s="140"/>
      <c r="O521" s="140"/>
      <c r="P521" s="140"/>
      <c r="Q521" s="140"/>
      <c r="R521" s="140"/>
      <c r="S521" s="140"/>
      <c r="T521" s="140"/>
      <c r="U521" s="140"/>
      <c r="V521" s="140"/>
      <c r="W521" s="140"/>
      <c r="X521" s="140"/>
      <c r="Y521" s="140"/>
      <c r="Z521" s="140"/>
    </row>
    <row r="522" spans="1:26" ht="15.75" customHeight="1">
      <c r="A522" s="142"/>
      <c r="B522" s="141"/>
      <c r="C522" s="142"/>
      <c r="D522" s="142"/>
      <c r="E522" s="86"/>
      <c r="F522" s="86"/>
      <c r="G522" s="140"/>
      <c r="H522" s="140"/>
      <c r="I522" s="140"/>
      <c r="J522" s="140"/>
      <c r="K522" s="140"/>
      <c r="L522" s="140"/>
      <c r="M522" s="140"/>
      <c r="N522" s="140"/>
      <c r="O522" s="140"/>
      <c r="P522" s="140"/>
      <c r="Q522" s="140"/>
      <c r="R522" s="140"/>
      <c r="S522" s="140"/>
      <c r="T522" s="140"/>
      <c r="U522" s="140"/>
      <c r="V522" s="140"/>
      <c r="W522" s="140"/>
      <c r="X522" s="140"/>
      <c r="Y522" s="140"/>
      <c r="Z522" s="140"/>
    </row>
    <row r="523" spans="1:26" ht="15.75" customHeight="1">
      <c r="A523" s="142"/>
      <c r="B523" s="141"/>
      <c r="C523" s="142"/>
      <c r="D523" s="142"/>
      <c r="E523" s="86"/>
      <c r="F523" s="86"/>
      <c r="G523" s="140"/>
      <c r="H523" s="140"/>
      <c r="I523" s="140"/>
      <c r="J523" s="140"/>
      <c r="K523" s="140"/>
      <c r="L523" s="140"/>
      <c r="M523" s="140"/>
      <c r="N523" s="140"/>
      <c r="O523" s="140"/>
      <c r="P523" s="140"/>
      <c r="Q523" s="140"/>
      <c r="R523" s="140"/>
      <c r="S523" s="140"/>
      <c r="T523" s="140"/>
      <c r="U523" s="140"/>
      <c r="V523" s="140"/>
      <c r="W523" s="140"/>
      <c r="X523" s="140"/>
      <c r="Y523" s="140"/>
      <c r="Z523" s="140"/>
    </row>
    <row r="524" spans="1:26" ht="15.75" customHeight="1">
      <c r="A524" s="142"/>
      <c r="B524" s="141"/>
      <c r="C524" s="142"/>
      <c r="D524" s="142"/>
      <c r="E524" s="86"/>
      <c r="F524" s="86"/>
      <c r="G524" s="140"/>
      <c r="H524" s="140"/>
      <c r="I524" s="140"/>
      <c r="J524" s="140"/>
      <c r="K524" s="140"/>
      <c r="L524" s="140"/>
      <c r="M524" s="140"/>
      <c r="N524" s="140"/>
      <c r="O524" s="140"/>
      <c r="P524" s="140"/>
      <c r="Q524" s="140"/>
      <c r="R524" s="140"/>
      <c r="S524" s="140"/>
      <c r="T524" s="140"/>
      <c r="U524" s="140"/>
      <c r="V524" s="140"/>
      <c r="W524" s="140"/>
      <c r="X524" s="140"/>
      <c r="Y524" s="140"/>
      <c r="Z524" s="140"/>
    </row>
    <row r="525" spans="1:26" ht="15.75" customHeight="1">
      <c r="A525" s="142"/>
      <c r="B525" s="141"/>
      <c r="C525" s="142"/>
      <c r="D525" s="142"/>
      <c r="E525" s="86"/>
      <c r="F525" s="86"/>
      <c r="G525" s="140"/>
      <c r="H525" s="140"/>
      <c r="I525" s="140"/>
      <c r="J525" s="140"/>
      <c r="K525" s="140"/>
      <c r="L525" s="140"/>
      <c r="M525" s="140"/>
      <c r="N525" s="140"/>
      <c r="O525" s="140"/>
      <c r="P525" s="140"/>
      <c r="Q525" s="140"/>
      <c r="R525" s="140"/>
      <c r="S525" s="140"/>
      <c r="T525" s="140"/>
      <c r="U525" s="140"/>
      <c r="V525" s="140"/>
      <c r="W525" s="140"/>
      <c r="X525" s="140"/>
      <c r="Y525" s="140"/>
      <c r="Z525" s="140"/>
    </row>
    <row r="526" spans="1:26" ht="15.75" customHeight="1">
      <c r="A526" s="142"/>
      <c r="B526" s="141"/>
      <c r="C526" s="142"/>
      <c r="D526" s="142"/>
      <c r="E526" s="86"/>
      <c r="F526" s="86"/>
      <c r="G526" s="140"/>
      <c r="H526" s="140"/>
      <c r="I526" s="140"/>
      <c r="J526" s="140"/>
      <c r="K526" s="140"/>
      <c r="L526" s="140"/>
      <c r="M526" s="140"/>
      <c r="N526" s="140"/>
      <c r="O526" s="140"/>
      <c r="P526" s="140"/>
      <c r="Q526" s="140"/>
      <c r="R526" s="140"/>
      <c r="S526" s="140"/>
      <c r="T526" s="140"/>
      <c r="U526" s="140"/>
      <c r="V526" s="140"/>
      <c r="W526" s="140"/>
      <c r="X526" s="140"/>
      <c r="Y526" s="140"/>
      <c r="Z526" s="140"/>
    </row>
    <row r="527" spans="1:26" ht="15.75" customHeight="1">
      <c r="A527" s="142"/>
      <c r="B527" s="141"/>
      <c r="C527" s="142"/>
      <c r="D527" s="142"/>
      <c r="E527" s="86"/>
      <c r="F527" s="86"/>
      <c r="G527" s="140"/>
      <c r="H527" s="140"/>
      <c r="I527" s="140"/>
      <c r="J527" s="140"/>
      <c r="K527" s="140"/>
      <c r="L527" s="140"/>
      <c r="M527" s="140"/>
      <c r="N527" s="140"/>
      <c r="O527" s="140"/>
      <c r="P527" s="140"/>
      <c r="Q527" s="140"/>
      <c r="R527" s="140"/>
      <c r="S527" s="140"/>
      <c r="T527" s="140"/>
      <c r="U527" s="140"/>
      <c r="V527" s="140"/>
      <c r="W527" s="140"/>
      <c r="X527" s="140"/>
      <c r="Y527" s="140"/>
      <c r="Z527" s="140"/>
    </row>
    <row r="528" spans="1:26" ht="15.75" customHeight="1">
      <c r="A528" s="142"/>
      <c r="B528" s="141"/>
      <c r="C528" s="142"/>
      <c r="D528" s="142"/>
      <c r="E528" s="86"/>
      <c r="F528" s="86"/>
      <c r="G528" s="140"/>
      <c r="H528" s="140"/>
      <c r="I528" s="140"/>
      <c r="J528" s="140"/>
      <c r="K528" s="140"/>
      <c r="L528" s="140"/>
      <c r="M528" s="140"/>
      <c r="N528" s="140"/>
      <c r="O528" s="140"/>
      <c r="P528" s="140"/>
      <c r="Q528" s="140"/>
      <c r="R528" s="140"/>
      <c r="S528" s="140"/>
      <c r="T528" s="140"/>
      <c r="U528" s="140"/>
      <c r="V528" s="140"/>
      <c r="W528" s="140"/>
      <c r="X528" s="140"/>
      <c r="Y528" s="140"/>
      <c r="Z528" s="140"/>
    </row>
    <row r="529" spans="1:26" ht="15.75" customHeight="1">
      <c r="A529" s="142"/>
      <c r="B529" s="141"/>
      <c r="C529" s="142"/>
      <c r="D529" s="142"/>
      <c r="E529" s="86"/>
      <c r="F529" s="86"/>
      <c r="G529" s="140"/>
      <c r="H529" s="140"/>
      <c r="I529" s="140"/>
      <c r="J529" s="140"/>
      <c r="K529" s="140"/>
      <c r="L529" s="140"/>
      <c r="M529" s="140"/>
      <c r="N529" s="140"/>
      <c r="O529" s="140"/>
      <c r="P529" s="140"/>
      <c r="Q529" s="140"/>
      <c r="R529" s="140"/>
      <c r="S529" s="140"/>
      <c r="T529" s="140"/>
      <c r="U529" s="140"/>
      <c r="V529" s="140"/>
      <c r="W529" s="140"/>
      <c r="X529" s="140"/>
      <c r="Y529" s="140"/>
      <c r="Z529" s="140"/>
    </row>
    <row r="530" spans="1:26" ht="15.75" customHeight="1">
      <c r="A530" s="142"/>
      <c r="B530" s="141"/>
      <c r="C530" s="142"/>
      <c r="D530" s="142"/>
      <c r="E530" s="86"/>
      <c r="F530" s="86"/>
      <c r="G530" s="140"/>
      <c r="H530" s="140"/>
      <c r="I530" s="140"/>
      <c r="J530" s="140"/>
      <c r="K530" s="140"/>
      <c r="L530" s="140"/>
      <c r="M530" s="140"/>
      <c r="N530" s="140"/>
      <c r="O530" s="140"/>
      <c r="P530" s="140"/>
      <c r="Q530" s="140"/>
      <c r="R530" s="140"/>
      <c r="S530" s="140"/>
      <c r="T530" s="140"/>
      <c r="U530" s="140"/>
      <c r="V530" s="140"/>
      <c r="W530" s="140"/>
      <c r="X530" s="140"/>
      <c r="Y530" s="140"/>
      <c r="Z530" s="140"/>
    </row>
    <row r="531" spans="1:26" ht="15.75" customHeight="1">
      <c r="A531" s="142"/>
      <c r="B531" s="141"/>
      <c r="C531" s="142"/>
      <c r="D531" s="142"/>
      <c r="E531" s="86"/>
      <c r="F531" s="86"/>
      <c r="G531" s="140"/>
      <c r="H531" s="140"/>
      <c r="I531" s="140"/>
      <c r="J531" s="140"/>
      <c r="K531" s="140"/>
      <c r="L531" s="140"/>
      <c r="M531" s="140"/>
      <c r="N531" s="140"/>
      <c r="O531" s="140"/>
      <c r="P531" s="140"/>
      <c r="Q531" s="140"/>
      <c r="R531" s="140"/>
      <c r="S531" s="140"/>
      <c r="T531" s="140"/>
      <c r="U531" s="140"/>
      <c r="V531" s="140"/>
      <c r="W531" s="140"/>
      <c r="X531" s="140"/>
      <c r="Y531" s="140"/>
      <c r="Z531" s="140"/>
    </row>
    <row r="532" spans="1:26" ht="15.75" customHeight="1">
      <c r="A532" s="142"/>
      <c r="B532" s="141"/>
      <c r="C532" s="142"/>
      <c r="D532" s="142"/>
      <c r="E532" s="86"/>
      <c r="F532" s="86"/>
      <c r="G532" s="140"/>
      <c r="H532" s="140"/>
      <c r="I532" s="140"/>
      <c r="J532" s="140"/>
      <c r="K532" s="140"/>
      <c r="L532" s="140"/>
      <c r="M532" s="140"/>
      <c r="N532" s="140"/>
      <c r="O532" s="140"/>
      <c r="P532" s="140"/>
      <c r="Q532" s="140"/>
      <c r="R532" s="140"/>
      <c r="S532" s="140"/>
      <c r="T532" s="140"/>
      <c r="U532" s="140"/>
      <c r="V532" s="140"/>
      <c r="W532" s="140"/>
      <c r="X532" s="140"/>
      <c r="Y532" s="140"/>
      <c r="Z532" s="140"/>
    </row>
    <row r="533" spans="1:26" ht="15.75" customHeight="1">
      <c r="A533" s="142"/>
      <c r="B533" s="141"/>
      <c r="C533" s="142"/>
      <c r="D533" s="142"/>
      <c r="E533" s="86"/>
      <c r="F533" s="86"/>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ht="15.75" customHeight="1">
      <c r="A534" s="142"/>
      <c r="B534" s="141"/>
      <c r="C534" s="142"/>
      <c r="D534" s="142"/>
      <c r="E534" s="86"/>
      <c r="F534" s="86"/>
      <c r="G534" s="140"/>
      <c r="H534" s="140"/>
      <c r="I534" s="140"/>
      <c r="J534" s="140"/>
      <c r="K534" s="140"/>
      <c r="L534" s="140"/>
      <c r="M534" s="140"/>
      <c r="N534" s="140"/>
      <c r="O534" s="140"/>
      <c r="P534" s="140"/>
      <c r="Q534" s="140"/>
      <c r="R534" s="140"/>
      <c r="S534" s="140"/>
      <c r="T534" s="140"/>
      <c r="U534" s="140"/>
      <c r="V534" s="140"/>
      <c r="W534" s="140"/>
      <c r="X534" s="140"/>
      <c r="Y534" s="140"/>
      <c r="Z534" s="140"/>
    </row>
    <row r="535" spans="1:26" ht="15.75" customHeight="1">
      <c r="A535" s="142"/>
      <c r="B535" s="141"/>
      <c r="C535" s="142"/>
      <c r="D535" s="142"/>
      <c r="E535" s="86"/>
      <c r="F535" s="86"/>
      <c r="G535" s="140"/>
      <c r="H535" s="140"/>
      <c r="I535" s="140"/>
      <c r="J535" s="140"/>
      <c r="K535" s="140"/>
      <c r="L535" s="140"/>
      <c r="M535" s="140"/>
      <c r="N535" s="140"/>
      <c r="O535" s="140"/>
      <c r="P535" s="140"/>
      <c r="Q535" s="140"/>
      <c r="R535" s="140"/>
      <c r="S535" s="140"/>
      <c r="T535" s="140"/>
      <c r="U535" s="140"/>
      <c r="V535" s="140"/>
      <c r="W535" s="140"/>
      <c r="X535" s="140"/>
      <c r="Y535" s="140"/>
      <c r="Z535" s="140"/>
    </row>
    <row r="536" spans="1:26" ht="15.75" customHeight="1">
      <c r="A536" s="142"/>
      <c r="B536" s="141"/>
      <c r="C536" s="142"/>
      <c r="D536" s="142"/>
      <c r="E536" s="86"/>
      <c r="F536" s="86"/>
      <c r="G536" s="140"/>
      <c r="H536" s="140"/>
      <c r="I536" s="140"/>
      <c r="J536" s="140"/>
      <c r="K536" s="140"/>
      <c r="L536" s="140"/>
      <c r="M536" s="140"/>
      <c r="N536" s="140"/>
      <c r="O536" s="140"/>
      <c r="P536" s="140"/>
      <c r="Q536" s="140"/>
      <c r="R536" s="140"/>
      <c r="S536" s="140"/>
      <c r="T536" s="140"/>
      <c r="U536" s="140"/>
      <c r="V536" s="140"/>
      <c r="W536" s="140"/>
      <c r="X536" s="140"/>
      <c r="Y536" s="140"/>
      <c r="Z536" s="140"/>
    </row>
    <row r="537" spans="1:26" ht="15.75" customHeight="1">
      <c r="A537" s="142"/>
      <c r="B537" s="141"/>
      <c r="C537" s="142"/>
      <c r="D537" s="142"/>
      <c r="E537" s="86"/>
      <c r="F537" s="86"/>
      <c r="G537" s="140"/>
      <c r="H537" s="140"/>
      <c r="I537" s="140"/>
      <c r="J537" s="140"/>
      <c r="K537" s="140"/>
      <c r="L537" s="140"/>
      <c r="M537" s="140"/>
      <c r="N537" s="140"/>
      <c r="O537" s="140"/>
      <c r="P537" s="140"/>
      <c r="Q537" s="140"/>
      <c r="R537" s="140"/>
      <c r="S537" s="140"/>
      <c r="T537" s="140"/>
      <c r="U537" s="140"/>
      <c r="V537" s="140"/>
      <c r="W537" s="140"/>
      <c r="X537" s="140"/>
      <c r="Y537" s="140"/>
      <c r="Z537" s="140"/>
    </row>
    <row r="538" spans="1:26" ht="15.75" customHeight="1">
      <c r="A538" s="142"/>
      <c r="B538" s="141"/>
      <c r="C538" s="142"/>
      <c r="D538" s="142"/>
      <c r="E538" s="86"/>
      <c r="F538" s="86"/>
      <c r="G538" s="140"/>
      <c r="H538" s="140"/>
      <c r="I538" s="140"/>
      <c r="J538" s="140"/>
      <c r="K538" s="140"/>
      <c r="L538" s="140"/>
      <c r="M538" s="140"/>
      <c r="N538" s="140"/>
      <c r="O538" s="140"/>
      <c r="P538" s="140"/>
      <c r="Q538" s="140"/>
      <c r="R538" s="140"/>
      <c r="S538" s="140"/>
      <c r="T538" s="140"/>
      <c r="U538" s="140"/>
      <c r="V538" s="140"/>
      <c r="W538" s="140"/>
      <c r="X538" s="140"/>
      <c r="Y538" s="140"/>
      <c r="Z538" s="140"/>
    </row>
    <row r="539" spans="1:26" ht="15.75" customHeight="1">
      <c r="A539" s="142"/>
      <c r="B539" s="141"/>
      <c r="C539" s="142"/>
      <c r="D539" s="142"/>
      <c r="E539" s="86"/>
      <c r="F539" s="86"/>
      <c r="G539" s="140"/>
      <c r="H539" s="140"/>
      <c r="I539" s="140"/>
      <c r="J539" s="140"/>
      <c r="K539" s="140"/>
      <c r="L539" s="140"/>
      <c r="M539" s="140"/>
      <c r="N539" s="140"/>
      <c r="O539" s="140"/>
      <c r="P539" s="140"/>
      <c r="Q539" s="140"/>
      <c r="R539" s="140"/>
      <c r="S539" s="140"/>
      <c r="T539" s="140"/>
      <c r="U539" s="140"/>
      <c r="V539" s="140"/>
      <c r="W539" s="140"/>
      <c r="X539" s="140"/>
      <c r="Y539" s="140"/>
      <c r="Z539" s="140"/>
    </row>
    <row r="540" spans="1:26" ht="15.75" customHeight="1">
      <c r="A540" s="142"/>
      <c r="B540" s="141"/>
      <c r="C540" s="142"/>
      <c r="D540" s="142"/>
      <c r="E540" s="86"/>
      <c r="F540" s="86"/>
      <c r="G540" s="140"/>
      <c r="H540" s="140"/>
      <c r="I540" s="140"/>
      <c r="J540" s="140"/>
      <c r="K540" s="140"/>
      <c r="L540" s="140"/>
      <c r="M540" s="140"/>
      <c r="N540" s="140"/>
      <c r="O540" s="140"/>
      <c r="P540" s="140"/>
      <c r="Q540" s="140"/>
      <c r="R540" s="140"/>
      <c r="S540" s="140"/>
      <c r="T540" s="140"/>
      <c r="U540" s="140"/>
      <c r="V540" s="140"/>
      <c r="W540" s="140"/>
      <c r="X540" s="140"/>
      <c r="Y540" s="140"/>
      <c r="Z540" s="140"/>
    </row>
    <row r="541" spans="1:26" ht="15.75" customHeight="1">
      <c r="A541" s="142"/>
      <c r="B541" s="141"/>
      <c r="C541" s="142"/>
      <c r="D541" s="142"/>
      <c r="E541" s="86"/>
      <c r="F541" s="86"/>
      <c r="G541" s="140"/>
      <c r="H541" s="140"/>
      <c r="I541" s="140"/>
      <c r="J541" s="140"/>
      <c r="K541" s="140"/>
      <c r="L541" s="140"/>
      <c r="M541" s="140"/>
      <c r="N541" s="140"/>
      <c r="O541" s="140"/>
      <c r="P541" s="140"/>
      <c r="Q541" s="140"/>
      <c r="R541" s="140"/>
      <c r="S541" s="140"/>
      <c r="T541" s="140"/>
      <c r="U541" s="140"/>
      <c r="V541" s="140"/>
      <c r="W541" s="140"/>
      <c r="X541" s="140"/>
      <c r="Y541" s="140"/>
      <c r="Z541" s="140"/>
    </row>
    <row r="542" spans="1:26" ht="15.75" customHeight="1">
      <c r="A542" s="142"/>
      <c r="B542" s="141"/>
      <c r="C542" s="142"/>
      <c r="D542" s="142"/>
      <c r="E542" s="86"/>
      <c r="F542" s="86"/>
      <c r="G542" s="140"/>
      <c r="H542" s="140"/>
      <c r="I542" s="140"/>
      <c r="J542" s="140"/>
      <c r="K542" s="140"/>
      <c r="L542" s="140"/>
      <c r="M542" s="140"/>
      <c r="N542" s="140"/>
      <c r="O542" s="140"/>
      <c r="P542" s="140"/>
      <c r="Q542" s="140"/>
      <c r="R542" s="140"/>
      <c r="S542" s="140"/>
      <c r="T542" s="140"/>
      <c r="U542" s="140"/>
      <c r="V542" s="140"/>
      <c r="W542" s="140"/>
      <c r="X542" s="140"/>
      <c r="Y542" s="140"/>
      <c r="Z542" s="140"/>
    </row>
    <row r="543" spans="1:26" ht="15.75" customHeight="1">
      <c r="A543" s="142"/>
      <c r="B543" s="141"/>
      <c r="C543" s="142"/>
      <c r="D543" s="142"/>
      <c r="E543" s="86"/>
      <c r="F543" s="86"/>
      <c r="G543" s="140"/>
      <c r="H543" s="140"/>
      <c r="I543" s="140"/>
      <c r="J543" s="140"/>
      <c r="K543" s="140"/>
      <c r="L543" s="140"/>
      <c r="M543" s="140"/>
      <c r="N543" s="140"/>
      <c r="O543" s="140"/>
      <c r="P543" s="140"/>
      <c r="Q543" s="140"/>
      <c r="R543" s="140"/>
      <c r="S543" s="140"/>
      <c r="T543" s="140"/>
      <c r="U543" s="140"/>
      <c r="V543" s="140"/>
      <c r="W543" s="140"/>
      <c r="X543" s="140"/>
      <c r="Y543" s="140"/>
      <c r="Z543" s="140"/>
    </row>
    <row r="544" spans="1:26" ht="15.75" customHeight="1">
      <c r="A544" s="142"/>
      <c r="B544" s="141"/>
      <c r="C544" s="142"/>
      <c r="D544" s="142"/>
      <c r="E544" s="86"/>
      <c r="F544" s="86"/>
      <c r="G544" s="140"/>
      <c r="H544" s="140"/>
      <c r="I544" s="140"/>
      <c r="J544" s="140"/>
      <c r="K544" s="140"/>
      <c r="L544" s="140"/>
      <c r="M544" s="140"/>
      <c r="N544" s="140"/>
      <c r="O544" s="140"/>
      <c r="P544" s="140"/>
      <c r="Q544" s="140"/>
      <c r="R544" s="140"/>
      <c r="S544" s="140"/>
      <c r="T544" s="140"/>
      <c r="U544" s="140"/>
      <c r="V544" s="140"/>
      <c r="W544" s="140"/>
      <c r="X544" s="140"/>
      <c r="Y544" s="140"/>
      <c r="Z544" s="140"/>
    </row>
    <row r="545" spans="1:26" ht="15.75" customHeight="1">
      <c r="A545" s="142"/>
      <c r="B545" s="141"/>
      <c r="C545" s="142"/>
      <c r="D545" s="142"/>
      <c r="E545" s="86"/>
      <c r="F545" s="86"/>
      <c r="G545" s="140"/>
      <c r="H545" s="140"/>
      <c r="I545" s="140"/>
      <c r="J545" s="140"/>
      <c r="K545" s="140"/>
      <c r="L545" s="140"/>
      <c r="M545" s="140"/>
      <c r="N545" s="140"/>
      <c r="O545" s="140"/>
      <c r="P545" s="140"/>
      <c r="Q545" s="140"/>
      <c r="R545" s="140"/>
      <c r="S545" s="140"/>
      <c r="T545" s="140"/>
      <c r="U545" s="140"/>
      <c r="V545" s="140"/>
      <c r="W545" s="140"/>
      <c r="X545" s="140"/>
      <c r="Y545" s="140"/>
      <c r="Z545" s="140"/>
    </row>
    <row r="546" spans="1:26" ht="15.75" customHeight="1">
      <c r="A546" s="142"/>
      <c r="B546" s="141"/>
      <c r="C546" s="142"/>
      <c r="D546" s="142"/>
      <c r="E546" s="86"/>
      <c r="F546" s="86"/>
      <c r="G546" s="140"/>
      <c r="H546" s="140"/>
      <c r="I546" s="140"/>
      <c r="J546" s="140"/>
      <c r="K546" s="140"/>
      <c r="L546" s="140"/>
      <c r="M546" s="140"/>
      <c r="N546" s="140"/>
      <c r="O546" s="140"/>
      <c r="P546" s="140"/>
      <c r="Q546" s="140"/>
      <c r="R546" s="140"/>
      <c r="S546" s="140"/>
      <c r="T546" s="140"/>
      <c r="U546" s="140"/>
      <c r="V546" s="140"/>
      <c r="W546" s="140"/>
      <c r="X546" s="140"/>
      <c r="Y546" s="140"/>
      <c r="Z546" s="140"/>
    </row>
    <row r="547" spans="1:26" ht="15.75" customHeight="1">
      <c r="A547" s="142"/>
      <c r="B547" s="141"/>
      <c r="C547" s="142"/>
      <c r="D547" s="142"/>
      <c r="E547" s="86"/>
      <c r="F547" s="86"/>
      <c r="G547" s="140"/>
      <c r="H547" s="140"/>
      <c r="I547" s="140"/>
      <c r="J547" s="140"/>
      <c r="K547" s="140"/>
      <c r="L547" s="140"/>
      <c r="M547" s="140"/>
      <c r="N547" s="140"/>
      <c r="O547" s="140"/>
      <c r="P547" s="140"/>
      <c r="Q547" s="140"/>
      <c r="R547" s="140"/>
      <c r="S547" s="140"/>
      <c r="T547" s="140"/>
      <c r="U547" s="140"/>
      <c r="V547" s="140"/>
      <c r="W547" s="140"/>
      <c r="X547" s="140"/>
      <c r="Y547" s="140"/>
      <c r="Z547" s="140"/>
    </row>
    <row r="548" spans="1:26" ht="15.75" customHeight="1">
      <c r="A548" s="142"/>
      <c r="B548" s="141"/>
      <c r="C548" s="142"/>
      <c r="D548" s="142"/>
      <c r="E548" s="86"/>
      <c r="F548" s="86"/>
      <c r="G548" s="140"/>
      <c r="H548" s="140"/>
      <c r="I548" s="140"/>
      <c r="J548" s="140"/>
      <c r="K548" s="140"/>
      <c r="L548" s="140"/>
      <c r="M548" s="140"/>
      <c r="N548" s="140"/>
      <c r="O548" s="140"/>
      <c r="P548" s="140"/>
      <c r="Q548" s="140"/>
      <c r="R548" s="140"/>
      <c r="S548" s="140"/>
      <c r="T548" s="140"/>
      <c r="U548" s="140"/>
      <c r="V548" s="140"/>
      <c r="W548" s="140"/>
      <c r="X548" s="140"/>
      <c r="Y548" s="140"/>
      <c r="Z548" s="140"/>
    </row>
    <row r="549" spans="1:26" ht="15.75" customHeight="1">
      <c r="A549" s="142"/>
      <c r="B549" s="141"/>
      <c r="C549" s="142"/>
      <c r="D549" s="142"/>
      <c r="E549" s="86"/>
      <c r="F549" s="86"/>
      <c r="G549" s="140"/>
      <c r="H549" s="140"/>
      <c r="I549" s="140"/>
      <c r="J549" s="140"/>
      <c r="K549" s="140"/>
      <c r="L549" s="140"/>
      <c r="M549" s="140"/>
      <c r="N549" s="140"/>
      <c r="O549" s="140"/>
      <c r="P549" s="140"/>
      <c r="Q549" s="140"/>
      <c r="R549" s="140"/>
      <c r="S549" s="140"/>
      <c r="T549" s="140"/>
      <c r="U549" s="140"/>
      <c r="V549" s="140"/>
      <c r="W549" s="140"/>
      <c r="X549" s="140"/>
      <c r="Y549" s="140"/>
      <c r="Z549" s="140"/>
    </row>
    <row r="550" spans="1:26" ht="15.75" customHeight="1">
      <c r="A550" s="142"/>
      <c r="B550" s="141"/>
      <c r="C550" s="142"/>
      <c r="D550" s="142"/>
      <c r="E550" s="86"/>
      <c r="F550" s="86"/>
      <c r="G550" s="140"/>
      <c r="H550" s="140"/>
      <c r="I550" s="140"/>
      <c r="J550" s="140"/>
      <c r="K550" s="140"/>
      <c r="L550" s="140"/>
      <c r="M550" s="140"/>
      <c r="N550" s="140"/>
      <c r="O550" s="140"/>
      <c r="P550" s="140"/>
      <c r="Q550" s="140"/>
      <c r="R550" s="140"/>
      <c r="S550" s="140"/>
      <c r="T550" s="140"/>
      <c r="U550" s="140"/>
      <c r="V550" s="140"/>
      <c r="W550" s="140"/>
      <c r="X550" s="140"/>
      <c r="Y550" s="140"/>
      <c r="Z550" s="140"/>
    </row>
    <row r="551" spans="1:26" ht="15.75" customHeight="1">
      <c r="A551" s="142"/>
      <c r="B551" s="141"/>
      <c r="C551" s="142"/>
      <c r="D551" s="142"/>
      <c r="E551" s="86"/>
      <c r="F551" s="86"/>
      <c r="G551" s="140"/>
      <c r="H551" s="140"/>
      <c r="I551" s="140"/>
      <c r="J551" s="140"/>
      <c r="K551" s="140"/>
      <c r="L551" s="140"/>
      <c r="M551" s="140"/>
      <c r="N551" s="140"/>
      <c r="O551" s="140"/>
      <c r="P551" s="140"/>
      <c r="Q551" s="140"/>
      <c r="R551" s="140"/>
      <c r="S551" s="140"/>
      <c r="T551" s="140"/>
      <c r="U551" s="140"/>
      <c r="V551" s="140"/>
      <c r="W551" s="140"/>
      <c r="X551" s="140"/>
      <c r="Y551" s="140"/>
      <c r="Z551" s="140"/>
    </row>
    <row r="552" spans="1:26" ht="15.75" customHeight="1">
      <c r="A552" s="142"/>
      <c r="B552" s="141"/>
      <c r="C552" s="142"/>
      <c r="D552" s="142"/>
      <c r="E552" s="86"/>
      <c r="F552" s="86"/>
      <c r="G552" s="140"/>
      <c r="H552" s="140"/>
      <c r="I552" s="140"/>
      <c r="J552" s="140"/>
      <c r="K552" s="140"/>
      <c r="L552" s="140"/>
      <c r="M552" s="140"/>
      <c r="N552" s="140"/>
      <c r="O552" s="140"/>
      <c r="P552" s="140"/>
      <c r="Q552" s="140"/>
      <c r="R552" s="140"/>
      <c r="S552" s="140"/>
      <c r="T552" s="140"/>
      <c r="U552" s="140"/>
      <c r="V552" s="140"/>
      <c r="W552" s="140"/>
      <c r="X552" s="140"/>
      <c r="Y552" s="140"/>
      <c r="Z552" s="140"/>
    </row>
    <row r="553" spans="1:26" ht="15.75" customHeight="1">
      <c r="A553" s="142"/>
      <c r="B553" s="141"/>
      <c r="C553" s="142"/>
      <c r="D553" s="142"/>
      <c r="E553" s="86"/>
      <c r="F553" s="86"/>
      <c r="G553" s="140"/>
      <c r="H553" s="140"/>
      <c r="I553" s="140"/>
      <c r="J553" s="140"/>
      <c r="K553" s="140"/>
      <c r="L553" s="140"/>
      <c r="M553" s="140"/>
      <c r="N553" s="140"/>
      <c r="O553" s="140"/>
      <c r="P553" s="140"/>
      <c r="Q553" s="140"/>
      <c r="R553" s="140"/>
      <c r="S553" s="140"/>
      <c r="T553" s="140"/>
      <c r="U553" s="140"/>
      <c r="V553" s="140"/>
      <c r="W553" s="140"/>
      <c r="X553" s="140"/>
      <c r="Y553" s="140"/>
      <c r="Z553" s="140"/>
    </row>
    <row r="554" spans="1:26" ht="15.75" customHeight="1">
      <c r="A554" s="142"/>
      <c r="B554" s="141"/>
      <c r="C554" s="142"/>
      <c r="D554" s="142"/>
      <c r="E554" s="86"/>
      <c r="F554" s="86"/>
      <c r="G554" s="140"/>
      <c r="H554" s="140"/>
      <c r="I554" s="140"/>
      <c r="J554" s="140"/>
      <c r="K554" s="140"/>
      <c r="L554" s="140"/>
      <c r="M554" s="140"/>
      <c r="N554" s="140"/>
      <c r="O554" s="140"/>
      <c r="P554" s="140"/>
      <c r="Q554" s="140"/>
      <c r="R554" s="140"/>
      <c r="S554" s="140"/>
      <c r="T554" s="140"/>
      <c r="U554" s="140"/>
      <c r="V554" s="140"/>
      <c r="W554" s="140"/>
      <c r="X554" s="140"/>
      <c r="Y554" s="140"/>
      <c r="Z554" s="140"/>
    </row>
    <row r="555" spans="1:26" ht="15.75" customHeight="1">
      <c r="A555" s="142"/>
      <c r="B555" s="141"/>
      <c r="C555" s="142"/>
      <c r="D555" s="142"/>
      <c r="E555" s="86"/>
      <c r="F555" s="86"/>
      <c r="G555" s="140"/>
      <c r="H555" s="140"/>
      <c r="I555" s="140"/>
      <c r="J555" s="140"/>
      <c r="K555" s="140"/>
      <c r="L555" s="140"/>
      <c r="M555" s="140"/>
      <c r="N555" s="140"/>
      <c r="O555" s="140"/>
      <c r="P555" s="140"/>
      <c r="Q555" s="140"/>
      <c r="R555" s="140"/>
      <c r="S555" s="140"/>
      <c r="T555" s="140"/>
      <c r="U555" s="140"/>
      <c r="V555" s="140"/>
      <c r="W555" s="140"/>
      <c r="X555" s="140"/>
      <c r="Y555" s="140"/>
      <c r="Z555" s="140"/>
    </row>
    <row r="556" spans="1:26" ht="15.75" customHeight="1">
      <c r="A556" s="142"/>
      <c r="B556" s="141"/>
      <c r="C556" s="142"/>
      <c r="D556" s="142"/>
      <c r="E556" s="86"/>
      <c r="F556" s="86"/>
      <c r="G556" s="140"/>
      <c r="H556" s="140"/>
      <c r="I556" s="140"/>
      <c r="J556" s="140"/>
      <c r="K556" s="140"/>
      <c r="L556" s="140"/>
      <c r="M556" s="140"/>
      <c r="N556" s="140"/>
      <c r="O556" s="140"/>
      <c r="P556" s="140"/>
      <c r="Q556" s="140"/>
      <c r="R556" s="140"/>
      <c r="S556" s="140"/>
      <c r="T556" s="140"/>
      <c r="U556" s="140"/>
      <c r="V556" s="140"/>
      <c r="W556" s="140"/>
      <c r="X556" s="140"/>
      <c r="Y556" s="140"/>
      <c r="Z556" s="140"/>
    </row>
    <row r="557" spans="1:26" ht="15.75" customHeight="1">
      <c r="A557" s="142"/>
      <c r="B557" s="141"/>
      <c r="C557" s="142"/>
      <c r="D557" s="142"/>
      <c r="E557" s="86"/>
      <c r="F557" s="86"/>
      <c r="G557" s="140"/>
      <c r="H557" s="140"/>
      <c r="I557" s="140"/>
      <c r="J557" s="140"/>
      <c r="K557" s="140"/>
      <c r="L557" s="140"/>
      <c r="M557" s="140"/>
      <c r="N557" s="140"/>
      <c r="O557" s="140"/>
      <c r="P557" s="140"/>
      <c r="Q557" s="140"/>
      <c r="R557" s="140"/>
      <c r="S557" s="140"/>
      <c r="T557" s="140"/>
      <c r="U557" s="140"/>
      <c r="V557" s="140"/>
      <c r="W557" s="140"/>
      <c r="X557" s="140"/>
      <c r="Y557" s="140"/>
      <c r="Z557" s="140"/>
    </row>
    <row r="558" spans="1:26" ht="15.75" customHeight="1">
      <c r="A558" s="142"/>
      <c r="B558" s="141"/>
      <c r="C558" s="142"/>
      <c r="D558" s="142"/>
      <c r="E558" s="86"/>
      <c r="F558" s="86"/>
      <c r="G558" s="140"/>
      <c r="H558" s="140"/>
      <c r="I558" s="140"/>
      <c r="J558" s="140"/>
      <c r="K558" s="140"/>
      <c r="L558" s="140"/>
      <c r="M558" s="140"/>
      <c r="N558" s="140"/>
      <c r="O558" s="140"/>
      <c r="P558" s="140"/>
      <c r="Q558" s="140"/>
      <c r="R558" s="140"/>
      <c r="S558" s="140"/>
      <c r="T558" s="140"/>
      <c r="U558" s="140"/>
      <c r="V558" s="140"/>
      <c r="W558" s="140"/>
      <c r="X558" s="140"/>
      <c r="Y558" s="140"/>
      <c r="Z558" s="140"/>
    </row>
    <row r="559" spans="1:26" ht="15.75" customHeight="1">
      <c r="A559" s="142"/>
      <c r="B559" s="141"/>
      <c r="C559" s="142"/>
      <c r="D559" s="142"/>
      <c r="E559" s="86"/>
      <c r="F559" s="86"/>
      <c r="G559" s="140"/>
      <c r="H559" s="140"/>
      <c r="I559" s="140"/>
      <c r="J559" s="140"/>
      <c r="K559" s="140"/>
      <c r="L559" s="140"/>
      <c r="M559" s="140"/>
      <c r="N559" s="140"/>
      <c r="O559" s="140"/>
      <c r="P559" s="140"/>
      <c r="Q559" s="140"/>
      <c r="R559" s="140"/>
      <c r="S559" s="140"/>
      <c r="T559" s="140"/>
      <c r="U559" s="140"/>
      <c r="V559" s="140"/>
      <c r="W559" s="140"/>
      <c r="X559" s="140"/>
      <c r="Y559" s="140"/>
      <c r="Z559" s="140"/>
    </row>
    <row r="560" spans="1:26" ht="15.75" customHeight="1">
      <c r="A560" s="142"/>
      <c r="B560" s="141"/>
      <c r="C560" s="142"/>
      <c r="D560" s="142"/>
      <c r="E560" s="86"/>
      <c r="F560" s="86"/>
      <c r="G560" s="140"/>
      <c r="H560" s="140"/>
      <c r="I560" s="140"/>
      <c r="J560" s="140"/>
      <c r="K560" s="140"/>
      <c r="L560" s="140"/>
      <c r="M560" s="140"/>
      <c r="N560" s="140"/>
      <c r="O560" s="140"/>
      <c r="P560" s="140"/>
      <c r="Q560" s="140"/>
      <c r="R560" s="140"/>
      <c r="S560" s="140"/>
      <c r="T560" s="140"/>
      <c r="U560" s="140"/>
      <c r="V560" s="140"/>
      <c r="W560" s="140"/>
      <c r="X560" s="140"/>
      <c r="Y560" s="140"/>
      <c r="Z560" s="140"/>
    </row>
    <row r="561" spans="1:26" ht="15.75" customHeight="1">
      <c r="A561" s="142"/>
      <c r="B561" s="141"/>
      <c r="C561" s="142"/>
      <c r="D561" s="142"/>
      <c r="E561" s="86"/>
      <c r="F561" s="86"/>
      <c r="G561" s="140"/>
      <c r="H561" s="140"/>
      <c r="I561" s="140"/>
      <c r="J561" s="140"/>
      <c r="K561" s="140"/>
      <c r="L561" s="140"/>
      <c r="M561" s="140"/>
      <c r="N561" s="140"/>
      <c r="O561" s="140"/>
      <c r="P561" s="140"/>
      <c r="Q561" s="140"/>
      <c r="R561" s="140"/>
      <c r="S561" s="140"/>
      <c r="T561" s="140"/>
      <c r="U561" s="140"/>
      <c r="V561" s="140"/>
      <c r="W561" s="140"/>
      <c r="X561" s="140"/>
      <c r="Y561" s="140"/>
      <c r="Z561" s="140"/>
    </row>
    <row r="562" spans="1:26" ht="15.75" customHeight="1">
      <c r="A562" s="142"/>
      <c r="B562" s="141"/>
      <c r="C562" s="142"/>
      <c r="D562" s="142"/>
      <c r="E562" s="86"/>
      <c r="F562" s="86"/>
      <c r="G562" s="140"/>
      <c r="H562" s="140"/>
      <c r="I562" s="140"/>
      <c r="J562" s="140"/>
      <c r="K562" s="140"/>
      <c r="L562" s="140"/>
      <c r="M562" s="140"/>
      <c r="N562" s="140"/>
      <c r="O562" s="140"/>
      <c r="P562" s="140"/>
      <c r="Q562" s="140"/>
      <c r="R562" s="140"/>
      <c r="S562" s="140"/>
      <c r="T562" s="140"/>
      <c r="U562" s="140"/>
      <c r="V562" s="140"/>
      <c r="W562" s="140"/>
      <c r="X562" s="140"/>
      <c r="Y562" s="140"/>
      <c r="Z562" s="140"/>
    </row>
    <row r="563" spans="1:26" ht="15.75" customHeight="1">
      <c r="A563" s="142"/>
      <c r="B563" s="141"/>
      <c r="C563" s="142"/>
      <c r="D563" s="142"/>
      <c r="E563" s="86"/>
      <c r="F563" s="86"/>
      <c r="G563" s="140"/>
      <c r="H563" s="140"/>
      <c r="I563" s="140"/>
      <c r="J563" s="140"/>
      <c r="K563" s="140"/>
      <c r="L563" s="140"/>
      <c r="M563" s="140"/>
      <c r="N563" s="140"/>
      <c r="O563" s="140"/>
      <c r="P563" s="140"/>
      <c r="Q563" s="140"/>
      <c r="R563" s="140"/>
      <c r="S563" s="140"/>
      <c r="T563" s="140"/>
      <c r="U563" s="140"/>
      <c r="V563" s="140"/>
      <c r="W563" s="140"/>
      <c r="X563" s="140"/>
      <c r="Y563" s="140"/>
      <c r="Z563" s="140"/>
    </row>
    <row r="564" spans="1:26" ht="15.75" customHeight="1">
      <c r="A564" s="142"/>
      <c r="B564" s="141"/>
      <c r="C564" s="142"/>
      <c r="D564" s="142"/>
      <c r="E564" s="86"/>
      <c r="F564" s="86"/>
      <c r="G564" s="140"/>
      <c r="H564" s="140"/>
      <c r="I564" s="140"/>
      <c r="J564" s="140"/>
      <c r="K564" s="140"/>
      <c r="L564" s="140"/>
      <c r="M564" s="140"/>
      <c r="N564" s="140"/>
      <c r="O564" s="140"/>
      <c r="P564" s="140"/>
      <c r="Q564" s="140"/>
      <c r="R564" s="140"/>
      <c r="S564" s="140"/>
      <c r="T564" s="140"/>
      <c r="U564" s="140"/>
      <c r="V564" s="140"/>
      <c r="W564" s="140"/>
      <c r="X564" s="140"/>
      <c r="Y564" s="140"/>
      <c r="Z564" s="140"/>
    </row>
    <row r="565" spans="1:26" ht="15.75" customHeight="1">
      <c r="A565" s="142"/>
      <c r="B565" s="141"/>
      <c r="C565" s="142"/>
      <c r="D565" s="142"/>
      <c r="E565" s="86"/>
      <c r="F565" s="86"/>
      <c r="G565" s="140"/>
      <c r="H565" s="140"/>
      <c r="I565" s="140"/>
      <c r="J565" s="140"/>
      <c r="K565" s="140"/>
      <c r="L565" s="140"/>
      <c r="M565" s="140"/>
      <c r="N565" s="140"/>
      <c r="O565" s="140"/>
      <c r="P565" s="140"/>
      <c r="Q565" s="140"/>
      <c r="R565" s="140"/>
      <c r="S565" s="140"/>
      <c r="T565" s="140"/>
      <c r="U565" s="140"/>
      <c r="V565" s="140"/>
      <c r="W565" s="140"/>
      <c r="X565" s="140"/>
      <c r="Y565" s="140"/>
      <c r="Z565" s="140"/>
    </row>
    <row r="566" spans="1:26" ht="15.75" customHeight="1">
      <c r="A566" s="142"/>
      <c r="B566" s="141"/>
      <c r="C566" s="142"/>
      <c r="D566" s="142"/>
      <c r="E566" s="86"/>
      <c r="F566" s="86"/>
      <c r="G566" s="140"/>
      <c r="H566" s="140"/>
      <c r="I566" s="140"/>
      <c r="J566" s="140"/>
      <c r="K566" s="140"/>
      <c r="L566" s="140"/>
      <c r="M566" s="140"/>
      <c r="N566" s="140"/>
      <c r="O566" s="140"/>
      <c r="P566" s="140"/>
      <c r="Q566" s="140"/>
      <c r="R566" s="140"/>
      <c r="S566" s="140"/>
      <c r="T566" s="140"/>
      <c r="U566" s="140"/>
      <c r="V566" s="140"/>
      <c r="W566" s="140"/>
      <c r="X566" s="140"/>
      <c r="Y566" s="140"/>
      <c r="Z566" s="140"/>
    </row>
    <row r="567" spans="1:26" ht="15.75" customHeight="1">
      <c r="A567" s="142"/>
      <c r="B567" s="141"/>
      <c r="C567" s="142"/>
      <c r="D567" s="142"/>
      <c r="E567" s="86"/>
      <c r="F567" s="86"/>
      <c r="G567" s="140"/>
      <c r="H567" s="140"/>
      <c r="I567" s="140"/>
      <c r="J567" s="140"/>
      <c r="K567" s="140"/>
      <c r="L567" s="140"/>
      <c r="M567" s="140"/>
      <c r="N567" s="140"/>
      <c r="O567" s="140"/>
      <c r="P567" s="140"/>
      <c r="Q567" s="140"/>
      <c r="R567" s="140"/>
      <c r="S567" s="140"/>
      <c r="T567" s="140"/>
      <c r="U567" s="140"/>
      <c r="V567" s="140"/>
      <c r="W567" s="140"/>
      <c r="X567" s="140"/>
      <c r="Y567" s="140"/>
      <c r="Z567" s="140"/>
    </row>
    <row r="568" spans="1:26" ht="15.75" customHeight="1">
      <c r="A568" s="142"/>
      <c r="B568" s="141"/>
      <c r="C568" s="142"/>
      <c r="D568" s="142"/>
      <c r="E568" s="86"/>
      <c r="F568" s="86"/>
      <c r="G568" s="140"/>
      <c r="H568" s="140"/>
      <c r="I568" s="140"/>
      <c r="J568" s="140"/>
      <c r="K568" s="140"/>
      <c r="L568" s="140"/>
      <c r="M568" s="140"/>
      <c r="N568" s="140"/>
      <c r="O568" s="140"/>
      <c r="P568" s="140"/>
      <c r="Q568" s="140"/>
      <c r="R568" s="140"/>
      <c r="S568" s="140"/>
      <c r="T568" s="140"/>
      <c r="U568" s="140"/>
      <c r="V568" s="140"/>
      <c r="W568" s="140"/>
      <c r="X568" s="140"/>
      <c r="Y568" s="140"/>
      <c r="Z568" s="140"/>
    </row>
    <row r="569" spans="1:26" ht="15.75" customHeight="1">
      <c r="A569" s="142"/>
      <c r="B569" s="141"/>
      <c r="C569" s="142"/>
      <c r="D569" s="142"/>
      <c r="E569" s="86"/>
      <c r="F569" s="86"/>
      <c r="G569" s="140"/>
      <c r="H569" s="140"/>
      <c r="I569" s="140"/>
      <c r="J569" s="140"/>
      <c r="K569" s="140"/>
      <c r="L569" s="140"/>
      <c r="M569" s="140"/>
      <c r="N569" s="140"/>
      <c r="O569" s="140"/>
      <c r="P569" s="140"/>
      <c r="Q569" s="140"/>
      <c r="R569" s="140"/>
      <c r="S569" s="140"/>
      <c r="T569" s="140"/>
      <c r="U569" s="140"/>
      <c r="V569" s="140"/>
      <c r="W569" s="140"/>
      <c r="X569" s="140"/>
      <c r="Y569" s="140"/>
      <c r="Z569" s="140"/>
    </row>
    <row r="570" spans="1:26" ht="15.75" customHeight="1">
      <c r="A570" s="142"/>
      <c r="B570" s="141"/>
      <c r="C570" s="142"/>
      <c r="D570" s="142"/>
      <c r="E570" s="86"/>
      <c r="F570" s="86"/>
      <c r="G570" s="140"/>
      <c r="H570" s="140"/>
      <c r="I570" s="140"/>
      <c r="J570" s="140"/>
      <c r="K570" s="140"/>
      <c r="L570" s="140"/>
      <c r="M570" s="140"/>
      <c r="N570" s="140"/>
      <c r="O570" s="140"/>
      <c r="P570" s="140"/>
      <c r="Q570" s="140"/>
      <c r="R570" s="140"/>
      <c r="S570" s="140"/>
      <c r="T570" s="140"/>
      <c r="U570" s="140"/>
      <c r="V570" s="140"/>
      <c r="W570" s="140"/>
      <c r="X570" s="140"/>
      <c r="Y570" s="140"/>
      <c r="Z570" s="140"/>
    </row>
    <row r="571" spans="1:26" ht="15.75" customHeight="1">
      <c r="A571" s="142"/>
      <c r="B571" s="141"/>
      <c r="C571" s="142"/>
      <c r="D571" s="142"/>
      <c r="E571" s="86"/>
      <c r="F571" s="86"/>
      <c r="G571" s="140"/>
      <c r="H571" s="140"/>
      <c r="I571" s="140"/>
      <c r="J571" s="140"/>
      <c r="K571" s="140"/>
      <c r="L571" s="140"/>
      <c r="M571" s="140"/>
      <c r="N571" s="140"/>
      <c r="O571" s="140"/>
      <c r="P571" s="140"/>
      <c r="Q571" s="140"/>
      <c r="R571" s="140"/>
      <c r="S571" s="140"/>
      <c r="T571" s="140"/>
      <c r="U571" s="140"/>
      <c r="V571" s="140"/>
      <c r="W571" s="140"/>
      <c r="X571" s="140"/>
      <c r="Y571" s="140"/>
      <c r="Z571" s="140"/>
    </row>
    <row r="572" spans="1:26" ht="15.75" customHeight="1">
      <c r="A572" s="142"/>
      <c r="B572" s="141"/>
      <c r="C572" s="142"/>
      <c r="D572" s="142"/>
      <c r="E572" s="86"/>
      <c r="F572" s="86"/>
      <c r="G572" s="140"/>
      <c r="H572" s="140"/>
      <c r="I572" s="140"/>
      <c r="J572" s="140"/>
      <c r="K572" s="140"/>
      <c r="L572" s="140"/>
      <c r="M572" s="140"/>
      <c r="N572" s="140"/>
      <c r="O572" s="140"/>
      <c r="P572" s="140"/>
      <c r="Q572" s="140"/>
      <c r="R572" s="140"/>
      <c r="S572" s="140"/>
      <c r="T572" s="140"/>
      <c r="U572" s="140"/>
      <c r="V572" s="140"/>
      <c r="W572" s="140"/>
      <c r="X572" s="140"/>
      <c r="Y572" s="140"/>
      <c r="Z572" s="140"/>
    </row>
    <row r="573" spans="1:26" ht="15.75" customHeight="1">
      <c r="A573" s="142"/>
      <c r="B573" s="141"/>
      <c r="C573" s="142"/>
      <c r="D573" s="142"/>
      <c r="E573" s="86"/>
      <c r="F573" s="86"/>
      <c r="G573" s="140"/>
      <c r="H573" s="140"/>
      <c r="I573" s="140"/>
      <c r="J573" s="140"/>
      <c r="K573" s="140"/>
      <c r="L573" s="140"/>
      <c r="M573" s="140"/>
      <c r="N573" s="140"/>
      <c r="O573" s="140"/>
      <c r="P573" s="140"/>
      <c r="Q573" s="140"/>
      <c r="R573" s="140"/>
      <c r="S573" s="140"/>
      <c r="T573" s="140"/>
      <c r="U573" s="140"/>
      <c r="V573" s="140"/>
      <c r="W573" s="140"/>
      <c r="X573" s="140"/>
      <c r="Y573" s="140"/>
      <c r="Z573" s="140"/>
    </row>
    <row r="574" spans="1:26" ht="15.75" customHeight="1">
      <c r="A574" s="142"/>
      <c r="B574" s="141"/>
      <c r="C574" s="142"/>
      <c r="D574" s="142"/>
      <c r="E574" s="86"/>
      <c r="F574" s="86"/>
      <c r="G574" s="140"/>
      <c r="H574" s="140"/>
      <c r="I574" s="140"/>
      <c r="J574" s="140"/>
      <c r="K574" s="140"/>
      <c r="L574" s="140"/>
      <c r="M574" s="140"/>
      <c r="N574" s="140"/>
      <c r="O574" s="140"/>
      <c r="P574" s="140"/>
      <c r="Q574" s="140"/>
      <c r="R574" s="140"/>
      <c r="S574" s="140"/>
      <c r="T574" s="140"/>
      <c r="U574" s="140"/>
      <c r="V574" s="140"/>
      <c r="W574" s="140"/>
      <c r="X574" s="140"/>
      <c r="Y574" s="140"/>
      <c r="Z574" s="140"/>
    </row>
    <row r="575" spans="1:26" ht="15.75" customHeight="1">
      <c r="A575" s="142"/>
      <c r="B575" s="141"/>
      <c r="C575" s="142"/>
      <c r="D575" s="142"/>
      <c r="E575" s="86"/>
      <c r="F575" s="86"/>
      <c r="G575" s="140"/>
      <c r="H575" s="140"/>
      <c r="I575" s="140"/>
      <c r="J575" s="140"/>
      <c r="K575" s="140"/>
      <c r="L575" s="140"/>
      <c r="M575" s="140"/>
      <c r="N575" s="140"/>
      <c r="O575" s="140"/>
      <c r="P575" s="140"/>
      <c r="Q575" s="140"/>
      <c r="R575" s="140"/>
      <c r="S575" s="140"/>
      <c r="T575" s="140"/>
      <c r="U575" s="140"/>
      <c r="V575" s="140"/>
      <c r="W575" s="140"/>
      <c r="X575" s="140"/>
      <c r="Y575" s="140"/>
      <c r="Z575" s="140"/>
    </row>
    <row r="576" spans="1:26" ht="15.75" customHeight="1">
      <c r="A576" s="142"/>
      <c r="B576" s="141"/>
      <c r="C576" s="142"/>
      <c r="D576" s="142"/>
      <c r="E576" s="86"/>
      <c r="F576" s="86"/>
      <c r="G576" s="140"/>
      <c r="H576" s="140"/>
      <c r="I576" s="140"/>
      <c r="J576" s="140"/>
      <c r="K576" s="140"/>
      <c r="L576" s="140"/>
      <c r="M576" s="140"/>
      <c r="N576" s="140"/>
      <c r="O576" s="140"/>
      <c r="P576" s="140"/>
      <c r="Q576" s="140"/>
      <c r="R576" s="140"/>
      <c r="S576" s="140"/>
      <c r="T576" s="140"/>
      <c r="U576" s="140"/>
      <c r="V576" s="140"/>
      <c r="W576" s="140"/>
      <c r="X576" s="140"/>
      <c r="Y576" s="140"/>
      <c r="Z576" s="140"/>
    </row>
    <row r="577" spans="1:26" ht="15.75" customHeight="1">
      <c r="A577" s="142"/>
      <c r="B577" s="141"/>
      <c r="C577" s="142"/>
      <c r="D577" s="142"/>
      <c r="E577" s="86"/>
      <c r="F577" s="86"/>
      <c r="G577" s="140"/>
      <c r="H577" s="140"/>
      <c r="I577" s="140"/>
      <c r="J577" s="140"/>
      <c r="K577" s="140"/>
      <c r="L577" s="140"/>
      <c r="M577" s="140"/>
      <c r="N577" s="140"/>
      <c r="O577" s="140"/>
      <c r="P577" s="140"/>
      <c r="Q577" s="140"/>
      <c r="R577" s="140"/>
      <c r="S577" s="140"/>
      <c r="T577" s="140"/>
      <c r="U577" s="140"/>
      <c r="V577" s="140"/>
      <c r="W577" s="140"/>
      <c r="X577" s="140"/>
      <c r="Y577" s="140"/>
      <c r="Z577" s="140"/>
    </row>
    <row r="578" spans="1:26" ht="15.75" customHeight="1">
      <c r="A578" s="142"/>
      <c r="B578" s="141"/>
      <c r="C578" s="142"/>
      <c r="D578" s="142"/>
      <c r="E578" s="86"/>
      <c r="F578" s="86"/>
      <c r="G578" s="140"/>
      <c r="H578" s="140"/>
      <c r="I578" s="140"/>
      <c r="J578" s="140"/>
      <c r="K578" s="140"/>
      <c r="L578" s="140"/>
      <c r="M578" s="140"/>
      <c r="N578" s="140"/>
      <c r="O578" s="140"/>
      <c r="P578" s="140"/>
      <c r="Q578" s="140"/>
      <c r="R578" s="140"/>
      <c r="S578" s="140"/>
      <c r="T578" s="140"/>
      <c r="U578" s="140"/>
      <c r="V578" s="140"/>
      <c r="W578" s="140"/>
      <c r="X578" s="140"/>
      <c r="Y578" s="140"/>
      <c r="Z578" s="140"/>
    </row>
    <row r="579" spans="1:26" ht="15.75" customHeight="1">
      <c r="A579" s="142"/>
      <c r="B579" s="141"/>
      <c r="C579" s="142"/>
      <c r="D579" s="142"/>
      <c r="E579" s="86"/>
      <c r="F579" s="86"/>
      <c r="G579" s="140"/>
      <c r="H579" s="140"/>
      <c r="I579" s="140"/>
      <c r="J579" s="140"/>
      <c r="K579" s="140"/>
      <c r="L579" s="140"/>
      <c r="M579" s="140"/>
      <c r="N579" s="140"/>
      <c r="O579" s="140"/>
      <c r="P579" s="140"/>
      <c r="Q579" s="140"/>
      <c r="R579" s="140"/>
      <c r="S579" s="140"/>
      <c r="T579" s="140"/>
      <c r="U579" s="140"/>
      <c r="V579" s="140"/>
      <c r="W579" s="140"/>
      <c r="X579" s="140"/>
      <c r="Y579" s="140"/>
      <c r="Z579" s="140"/>
    </row>
    <row r="580" spans="1:26" ht="15.75" customHeight="1">
      <c r="A580" s="142"/>
      <c r="B580" s="141"/>
      <c r="C580" s="142"/>
      <c r="D580" s="142"/>
      <c r="E580" s="86"/>
      <c r="F580" s="86"/>
      <c r="G580" s="140"/>
      <c r="H580" s="140"/>
      <c r="I580" s="140"/>
      <c r="J580" s="140"/>
      <c r="K580" s="140"/>
      <c r="L580" s="140"/>
      <c r="M580" s="140"/>
      <c r="N580" s="140"/>
      <c r="O580" s="140"/>
      <c r="P580" s="140"/>
      <c r="Q580" s="140"/>
      <c r="R580" s="140"/>
      <c r="S580" s="140"/>
      <c r="T580" s="140"/>
      <c r="U580" s="140"/>
      <c r="V580" s="140"/>
      <c r="W580" s="140"/>
      <c r="X580" s="140"/>
      <c r="Y580" s="140"/>
      <c r="Z580" s="140"/>
    </row>
    <row r="581" spans="1:26" ht="15.75" customHeight="1">
      <c r="A581" s="142"/>
      <c r="B581" s="141"/>
      <c r="C581" s="142"/>
      <c r="D581" s="142"/>
      <c r="E581" s="86"/>
      <c r="F581" s="86"/>
      <c r="G581" s="140"/>
      <c r="H581" s="140"/>
      <c r="I581" s="140"/>
      <c r="J581" s="140"/>
      <c r="K581" s="140"/>
      <c r="L581" s="140"/>
      <c r="M581" s="140"/>
      <c r="N581" s="140"/>
      <c r="O581" s="140"/>
      <c r="P581" s="140"/>
      <c r="Q581" s="140"/>
      <c r="R581" s="140"/>
      <c r="S581" s="140"/>
      <c r="T581" s="140"/>
      <c r="U581" s="140"/>
      <c r="V581" s="140"/>
      <c r="W581" s="140"/>
      <c r="X581" s="140"/>
      <c r="Y581" s="140"/>
      <c r="Z581" s="140"/>
    </row>
    <row r="582" spans="1:26" ht="15.75" customHeight="1">
      <c r="A582" s="142"/>
      <c r="B582" s="141"/>
      <c r="C582" s="142"/>
      <c r="D582" s="142"/>
      <c r="E582" s="86"/>
      <c r="F582" s="86"/>
      <c r="G582" s="140"/>
      <c r="H582" s="140"/>
      <c r="I582" s="140"/>
      <c r="J582" s="140"/>
      <c r="K582" s="140"/>
      <c r="L582" s="140"/>
      <c r="M582" s="140"/>
      <c r="N582" s="140"/>
      <c r="O582" s="140"/>
      <c r="P582" s="140"/>
      <c r="Q582" s="140"/>
      <c r="R582" s="140"/>
      <c r="S582" s="140"/>
      <c r="T582" s="140"/>
      <c r="U582" s="140"/>
      <c r="V582" s="140"/>
      <c r="W582" s="140"/>
      <c r="X582" s="140"/>
      <c r="Y582" s="140"/>
      <c r="Z582" s="140"/>
    </row>
    <row r="583" spans="1:26" ht="15.75" customHeight="1">
      <c r="A583" s="142"/>
      <c r="B583" s="141"/>
      <c r="C583" s="142"/>
      <c r="D583" s="142"/>
      <c r="E583" s="86"/>
      <c r="F583" s="86"/>
      <c r="G583" s="140"/>
      <c r="H583" s="140"/>
      <c r="I583" s="140"/>
      <c r="J583" s="140"/>
      <c r="K583" s="140"/>
      <c r="L583" s="140"/>
      <c r="M583" s="140"/>
      <c r="N583" s="140"/>
      <c r="O583" s="140"/>
      <c r="P583" s="140"/>
      <c r="Q583" s="140"/>
      <c r="R583" s="140"/>
      <c r="S583" s="140"/>
      <c r="T583" s="140"/>
      <c r="U583" s="140"/>
      <c r="V583" s="140"/>
      <c r="W583" s="140"/>
      <c r="X583" s="140"/>
      <c r="Y583" s="140"/>
      <c r="Z583" s="140"/>
    </row>
    <row r="584" spans="1:26" ht="15.75" customHeight="1">
      <c r="A584" s="142"/>
      <c r="B584" s="141"/>
      <c r="C584" s="142"/>
      <c r="D584" s="142"/>
      <c r="E584" s="86"/>
      <c r="F584" s="86"/>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ht="15.75" customHeight="1">
      <c r="A585" s="142"/>
      <c r="B585" s="141"/>
      <c r="C585" s="142"/>
      <c r="D585" s="142"/>
      <c r="E585" s="86"/>
      <c r="F585" s="86"/>
      <c r="G585" s="140"/>
      <c r="H585" s="140"/>
      <c r="I585" s="140"/>
      <c r="J585" s="140"/>
      <c r="K585" s="140"/>
      <c r="L585" s="140"/>
      <c r="M585" s="140"/>
      <c r="N585" s="140"/>
      <c r="O585" s="140"/>
      <c r="P585" s="140"/>
      <c r="Q585" s="140"/>
      <c r="R585" s="140"/>
      <c r="S585" s="140"/>
      <c r="T585" s="140"/>
      <c r="U585" s="140"/>
      <c r="V585" s="140"/>
      <c r="W585" s="140"/>
      <c r="X585" s="140"/>
      <c r="Y585" s="140"/>
      <c r="Z585" s="140"/>
    </row>
    <row r="586" spans="1:26" ht="15.75" customHeight="1">
      <c r="A586" s="142"/>
      <c r="B586" s="141"/>
      <c r="C586" s="142"/>
      <c r="D586" s="142"/>
      <c r="E586" s="86"/>
      <c r="F586" s="86"/>
      <c r="G586" s="140"/>
      <c r="H586" s="140"/>
      <c r="I586" s="140"/>
      <c r="J586" s="140"/>
      <c r="K586" s="140"/>
      <c r="L586" s="140"/>
      <c r="M586" s="140"/>
      <c r="N586" s="140"/>
      <c r="O586" s="140"/>
      <c r="P586" s="140"/>
      <c r="Q586" s="140"/>
      <c r="R586" s="140"/>
      <c r="S586" s="140"/>
      <c r="T586" s="140"/>
      <c r="U586" s="140"/>
      <c r="V586" s="140"/>
      <c r="W586" s="140"/>
      <c r="X586" s="140"/>
      <c r="Y586" s="140"/>
      <c r="Z586" s="140"/>
    </row>
    <row r="587" spans="1:26" ht="15.75" customHeight="1">
      <c r="A587" s="142"/>
      <c r="B587" s="141"/>
      <c r="C587" s="142"/>
      <c r="D587" s="142"/>
      <c r="E587" s="86"/>
      <c r="F587" s="86"/>
      <c r="G587" s="140"/>
      <c r="H587" s="140"/>
      <c r="I587" s="140"/>
      <c r="J587" s="140"/>
      <c r="K587" s="140"/>
      <c r="L587" s="140"/>
      <c r="M587" s="140"/>
      <c r="N587" s="140"/>
      <c r="O587" s="140"/>
      <c r="P587" s="140"/>
      <c r="Q587" s="140"/>
      <c r="R587" s="140"/>
      <c r="S587" s="140"/>
      <c r="T587" s="140"/>
      <c r="U587" s="140"/>
      <c r="V587" s="140"/>
      <c r="W587" s="140"/>
      <c r="X587" s="140"/>
      <c r="Y587" s="140"/>
      <c r="Z587" s="140"/>
    </row>
    <row r="588" spans="1:26" ht="15.75" customHeight="1">
      <c r="A588" s="142"/>
      <c r="B588" s="141"/>
      <c r="C588" s="142"/>
      <c r="D588" s="142"/>
      <c r="E588" s="86"/>
      <c r="F588" s="86"/>
      <c r="G588" s="140"/>
      <c r="H588" s="140"/>
      <c r="I588" s="140"/>
      <c r="J588" s="140"/>
      <c r="K588" s="140"/>
      <c r="L588" s="140"/>
      <c r="M588" s="140"/>
      <c r="N588" s="140"/>
      <c r="O588" s="140"/>
      <c r="P588" s="140"/>
      <c r="Q588" s="140"/>
      <c r="R588" s="140"/>
      <c r="S588" s="140"/>
      <c r="T588" s="140"/>
      <c r="U588" s="140"/>
      <c r="V588" s="140"/>
      <c r="W588" s="140"/>
      <c r="X588" s="140"/>
      <c r="Y588" s="140"/>
      <c r="Z588" s="140"/>
    </row>
    <row r="589" spans="1:26" ht="15.75" customHeight="1">
      <c r="A589" s="142"/>
      <c r="B589" s="141"/>
      <c r="C589" s="142"/>
      <c r="D589" s="142"/>
      <c r="E589" s="86"/>
      <c r="F589" s="86"/>
      <c r="G589" s="140"/>
      <c r="H589" s="140"/>
      <c r="I589" s="140"/>
      <c r="J589" s="140"/>
      <c r="K589" s="140"/>
      <c r="L589" s="140"/>
      <c r="M589" s="140"/>
      <c r="N589" s="140"/>
      <c r="O589" s="140"/>
      <c r="P589" s="140"/>
      <c r="Q589" s="140"/>
      <c r="R589" s="140"/>
      <c r="S589" s="140"/>
      <c r="T589" s="140"/>
      <c r="U589" s="140"/>
      <c r="V589" s="140"/>
      <c r="W589" s="140"/>
      <c r="X589" s="140"/>
      <c r="Y589" s="140"/>
      <c r="Z589" s="140"/>
    </row>
    <row r="590" spans="1:26" ht="15.75" customHeight="1">
      <c r="A590" s="142"/>
      <c r="B590" s="141"/>
      <c r="C590" s="142"/>
      <c r="D590" s="142"/>
      <c r="E590" s="86"/>
      <c r="F590" s="86"/>
      <c r="G590" s="140"/>
      <c r="H590" s="140"/>
      <c r="I590" s="140"/>
      <c r="J590" s="140"/>
      <c r="K590" s="140"/>
      <c r="L590" s="140"/>
      <c r="M590" s="140"/>
      <c r="N590" s="140"/>
      <c r="O590" s="140"/>
      <c r="P590" s="140"/>
      <c r="Q590" s="140"/>
      <c r="R590" s="140"/>
      <c r="S590" s="140"/>
      <c r="T590" s="140"/>
      <c r="U590" s="140"/>
      <c r="V590" s="140"/>
      <c r="W590" s="140"/>
      <c r="X590" s="140"/>
      <c r="Y590" s="140"/>
      <c r="Z590" s="140"/>
    </row>
    <row r="591" spans="1:26" ht="15.75" customHeight="1">
      <c r="A591" s="142"/>
      <c r="B591" s="141"/>
      <c r="C591" s="142"/>
      <c r="D591" s="142"/>
      <c r="E591" s="86"/>
      <c r="F591" s="86"/>
      <c r="G591" s="140"/>
      <c r="H591" s="140"/>
      <c r="I591" s="140"/>
      <c r="J591" s="140"/>
      <c r="K591" s="140"/>
      <c r="L591" s="140"/>
      <c r="M591" s="140"/>
      <c r="N591" s="140"/>
      <c r="O591" s="140"/>
      <c r="P591" s="140"/>
      <c r="Q591" s="140"/>
      <c r="R591" s="140"/>
      <c r="S591" s="140"/>
      <c r="T591" s="140"/>
      <c r="U591" s="140"/>
      <c r="V591" s="140"/>
      <c r="W591" s="140"/>
      <c r="X591" s="140"/>
      <c r="Y591" s="140"/>
      <c r="Z591" s="140"/>
    </row>
    <row r="592" spans="1:26" ht="15.75" customHeight="1">
      <c r="A592" s="142"/>
      <c r="B592" s="141"/>
      <c r="C592" s="142"/>
      <c r="D592" s="142"/>
      <c r="E592" s="86"/>
      <c r="F592" s="86"/>
      <c r="G592" s="140"/>
      <c r="H592" s="140"/>
      <c r="I592" s="140"/>
      <c r="J592" s="140"/>
      <c r="K592" s="140"/>
      <c r="L592" s="140"/>
      <c r="M592" s="140"/>
      <c r="N592" s="140"/>
      <c r="O592" s="140"/>
      <c r="P592" s="140"/>
      <c r="Q592" s="140"/>
      <c r="R592" s="140"/>
      <c r="S592" s="140"/>
      <c r="T592" s="140"/>
      <c r="U592" s="140"/>
      <c r="V592" s="140"/>
      <c r="W592" s="140"/>
      <c r="X592" s="140"/>
      <c r="Y592" s="140"/>
      <c r="Z592" s="140"/>
    </row>
    <row r="593" spans="1:26" ht="15.75" customHeight="1">
      <c r="A593" s="142"/>
      <c r="B593" s="141"/>
      <c r="C593" s="142"/>
      <c r="D593" s="142"/>
      <c r="E593" s="86"/>
      <c r="F593" s="86"/>
      <c r="G593" s="140"/>
      <c r="H593" s="140"/>
      <c r="I593" s="140"/>
      <c r="J593" s="140"/>
      <c r="K593" s="140"/>
      <c r="L593" s="140"/>
      <c r="M593" s="140"/>
      <c r="N593" s="140"/>
      <c r="O593" s="140"/>
      <c r="P593" s="140"/>
      <c r="Q593" s="140"/>
      <c r="R593" s="140"/>
      <c r="S593" s="140"/>
      <c r="T593" s="140"/>
      <c r="U593" s="140"/>
      <c r="V593" s="140"/>
      <c r="W593" s="140"/>
      <c r="X593" s="140"/>
      <c r="Y593" s="140"/>
      <c r="Z593" s="140"/>
    </row>
    <row r="594" spans="1:26" ht="15.75" customHeight="1">
      <c r="A594" s="142"/>
      <c r="B594" s="141"/>
      <c r="C594" s="142"/>
      <c r="D594" s="142"/>
      <c r="E594" s="86"/>
      <c r="F594" s="86"/>
      <c r="G594" s="140"/>
      <c r="H594" s="140"/>
      <c r="I594" s="140"/>
      <c r="J594" s="140"/>
      <c r="K594" s="140"/>
      <c r="L594" s="140"/>
      <c r="M594" s="140"/>
      <c r="N594" s="140"/>
      <c r="O594" s="140"/>
      <c r="P594" s="140"/>
      <c r="Q594" s="140"/>
      <c r="R594" s="140"/>
      <c r="S594" s="140"/>
      <c r="T594" s="140"/>
      <c r="U594" s="140"/>
      <c r="V594" s="140"/>
      <c r="W594" s="140"/>
      <c r="X594" s="140"/>
      <c r="Y594" s="140"/>
      <c r="Z594" s="140"/>
    </row>
    <row r="595" spans="1:26" ht="15.75" customHeight="1">
      <c r="A595" s="142"/>
      <c r="B595" s="141"/>
      <c r="C595" s="142"/>
      <c r="D595" s="142"/>
      <c r="E595" s="86"/>
      <c r="F595" s="86"/>
      <c r="G595" s="140"/>
      <c r="H595" s="140"/>
      <c r="I595" s="140"/>
      <c r="J595" s="140"/>
      <c r="K595" s="140"/>
      <c r="L595" s="140"/>
      <c r="M595" s="140"/>
      <c r="N595" s="140"/>
      <c r="O595" s="140"/>
      <c r="P595" s="140"/>
      <c r="Q595" s="140"/>
      <c r="R595" s="140"/>
      <c r="S595" s="140"/>
      <c r="T595" s="140"/>
      <c r="U595" s="140"/>
      <c r="V595" s="140"/>
      <c r="W595" s="140"/>
      <c r="X595" s="140"/>
      <c r="Y595" s="140"/>
      <c r="Z595" s="140"/>
    </row>
    <row r="596" spans="1:26" ht="15.75" customHeight="1">
      <c r="A596" s="142"/>
      <c r="B596" s="141"/>
      <c r="C596" s="142"/>
      <c r="D596" s="142"/>
      <c r="E596" s="86"/>
      <c r="F596" s="86"/>
      <c r="G596" s="140"/>
      <c r="H596" s="140"/>
      <c r="I596" s="140"/>
      <c r="J596" s="140"/>
      <c r="K596" s="140"/>
      <c r="L596" s="140"/>
      <c r="M596" s="140"/>
      <c r="N596" s="140"/>
      <c r="O596" s="140"/>
      <c r="P596" s="140"/>
      <c r="Q596" s="140"/>
      <c r="R596" s="140"/>
      <c r="S596" s="140"/>
      <c r="T596" s="140"/>
      <c r="U596" s="140"/>
      <c r="V596" s="140"/>
      <c r="W596" s="140"/>
      <c r="X596" s="140"/>
      <c r="Y596" s="140"/>
      <c r="Z596" s="140"/>
    </row>
    <row r="597" spans="1:26" ht="15.75" customHeight="1">
      <c r="A597" s="142"/>
      <c r="B597" s="141"/>
      <c r="C597" s="142"/>
      <c r="D597" s="142"/>
      <c r="E597" s="86"/>
      <c r="F597" s="86"/>
      <c r="G597" s="140"/>
      <c r="H597" s="140"/>
      <c r="I597" s="140"/>
      <c r="J597" s="140"/>
      <c r="K597" s="140"/>
      <c r="L597" s="140"/>
      <c r="M597" s="140"/>
      <c r="N597" s="140"/>
      <c r="O597" s="140"/>
      <c r="P597" s="140"/>
      <c r="Q597" s="140"/>
      <c r="R597" s="140"/>
      <c r="S597" s="140"/>
      <c r="T597" s="140"/>
      <c r="U597" s="140"/>
      <c r="V597" s="140"/>
      <c r="W597" s="140"/>
      <c r="X597" s="140"/>
      <c r="Y597" s="140"/>
      <c r="Z597" s="140"/>
    </row>
    <row r="598" spans="1:26" ht="15.75" customHeight="1">
      <c r="A598" s="142"/>
      <c r="B598" s="141"/>
      <c r="C598" s="142"/>
      <c r="D598" s="142"/>
      <c r="E598" s="86"/>
      <c r="F598" s="86"/>
      <c r="G598" s="140"/>
      <c r="H598" s="140"/>
      <c r="I598" s="140"/>
      <c r="J598" s="140"/>
      <c r="K598" s="140"/>
      <c r="L598" s="140"/>
      <c r="M598" s="140"/>
      <c r="N598" s="140"/>
      <c r="O598" s="140"/>
      <c r="P598" s="140"/>
      <c r="Q598" s="140"/>
      <c r="R598" s="140"/>
      <c r="S598" s="140"/>
      <c r="T598" s="140"/>
      <c r="U598" s="140"/>
      <c r="V598" s="140"/>
      <c r="W598" s="140"/>
      <c r="X598" s="140"/>
      <c r="Y598" s="140"/>
      <c r="Z598" s="140"/>
    </row>
    <row r="599" spans="1:26" ht="15.75" customHeight="1">
      <c r="A599" s="142"/>
      <c r="B599" s="141"/>
      <c r="C599" s="142"/>
      <c r="D599" s="142"/>
      <c r="E599" s="86"/>
      <c r="F599" s="86"/>
      <c r="G599" s="140"/>
      <c r="H599" s="140"/>
      <c r="I599" s="140"/>
      <c r="J599" s="140"/>
      <c r="K599" s="140"/>
      <c r="L599" s="140"/>
      <c r="M599" s="140"/>
      <c r="N599" s="140"/>
      <c r="O599" s="140"/>
      <c r="P599" s="140"/>
      <c r="Q599" s="140"/>
      <c r="R599" s="140"/>
      <c r="S599" s="140"/>
      <c r="T599" s="140"/>
      <c r="U599" s="140"/>
      <c r="V599" s="140"/>
      <c r="W599" s="140"/>
      <c r="X599" s="140"/>
      <c r="Y599" s="140"/>
      <c r="Z599" s="140"/>
    </row>
    <row r="600" spans="1:26" ht="15.75" customHeight="1">
      <c r="A600" s="142"/>
      <c r="B600" s="141"/>
      <c r="C600" s="142"/>
      <c r="D600" s="142"/>
      <c r="E600" s="86"/>
      <c r="F600" s="86"/>
      <c r="G600" s="140"/>
      <c r="H600" s="140"/>
      <c r="I600" s="140"/>
      <c r="J600" s="140"/>
      <c r="K600" s="140"/>
      <c r="L600" s="140"/>
      <c r="M600" s="140"/>
      <c r="N600" s="140"/>
      <c r="O600" s="140"/>
      <c r="P600" s="140"/>
      <c r="Q600" s="140"/>
      <c r="R600" s="140"/>
      <c r="S600" s="140"/>
      <c r="T600" s="140"/>
      <c r="U600" s="140"/>
      <c r="V600" s="140"/>
      <c r="W600" s="140"/>
      <c r="X600" s="140"/>
      <c r="Y600" s="140"/>
      <c r="Z600" s="140"/>
    </row>
    <row r="601" spans="1:26" ht="15.75" customHeight="1">
      <c r="A601" s="142"/>
      <c r="B601" s="141"/>
      <c r="C601" s="142"/>
      <c r="D601" s="142"/>
      <c r="E601" s="86"/>
      <c r="F601" s="86"/>
      <c r="G601" s="140"/>
      <c r="H601" s="140"/>
      <c r="I601" s="140"/>
      <c r="J601" s="140"/>
      <c r="K601" s="140"/>
      <c r="L601" s="140"/>
      <c r="M601" s="140"/>
      <c r="N601" s="140"/>
      <c r="O601" s="140"/>
      <c r="P601" s="140"/>
      <c r="Q601" s="140"/>
      <c r="R601" s="140"/>
      <c r="S601" s="140"/>
      <c r="T601" s="140"/>
      <c r="U601" s="140"/>
      <c r="V601" s="140"/>
      <c r="W601" s="140"/>
      <c r="X601" s="140"/>
      <c r="Y601" s="140"/>
      <c r="Z601" s="140"/>
    </row>
    <row r="602" spans="1:26" ht="15.75" customHeight="1">
      <c r="A602" s="142"/>
      <c r="B602" s="141"/>
      <c r="C602" s="142"/>
      <c r="D602" s="142"/>
      <c r="E602" s="86"/>
      <c r="F602" s="86"/>
      <c r="G602" s="140"/>
      <c r="H602" s="140"/>
      <c r="I602" s="140"/>
      <c r="J602" s="140"/>
      <c r="K602" s="140"/>
      <c r="L602" s="140"/>
      <c r="M602" s="140"/>
      <c r="N602" s="140"/>
      <c r="O602" s="140"/>
      <c r="P602" s="140"/>
      <c r="Q602" s="140"/>
      <c r="R602" s="140"/>
      <c r="S602" s="140"/>
      <c r="T602" s="140"/>
      <c r="U602" s="140"/>
      <c r="V602" s="140"/>
      <c r="W602" s="140"/>
      <c r="X602" s="140"/>
      <c r="Y602" s="140"/>
      <c r="Z602" s="140"/>
    </row>
    <row r="603" spans="1:26" ht="15.75" customHeight="1">
      <c r="A603" s="142"/>
      <c r="B603" s="141"/>
      <c r="C603" s="142"/>
      <c r="D603" s="142"/>
      <c r="E603" s="86"/>
      <c r="F603" s="86"/>
      <c r="G603" s="140"/>
      <c r="H603" s="140"/>
      <c r="I603" s="140"/>
      <c r="J603" s="140"/>
      <c r="K603" s="140"/>
      <c r="L603" s="140"/>
      <c r="M603" s="140"/>
      <c r="N603" s="140"/>
      <c r="O603" s="140"/>
      <c r="P603" s="140"/>
      <c r="Q603" s="140"/>
      <c r="R603" s="140"/>
      <c r="S603" s="140"/>
      <c r="T603" s="140"/>
      <c r="U603" s="140"/>
      <c r="V603" s="140"/>
      <c r="W603" s="140"/>
      <c r="X603" s="140"/>
      <c r="Y603" s="140"/>
      <c r="Z603" s="140"/>
    </row>
    <row r="604" spans="1:26" ht="15.75" customHeight="1">
      <c r="A604" s="142"/>
      <c r="B604" s="141"/>
      <c r="C604" s="142"/>
      <c r="D604" s="142"/>
      <c r="E604" s="86"/>
      <c r="F604" s="86"/>
      <c r="G604" s="140"/>
      <c r="H604" s="140"/>
      <c r="I604" s="140"/>
      <c r="J604" s="140"/>
      <c r="K604" s="140"/>
      <c r="L604" s="140"/>
      <c r="M604" s="140"/>
      <c r="N604" s="140"/>
      <c r="O604" s="140"/>
      <c r="P604" s="140"/>
      <c r="Q604" s="140"/>
      <c r="R604" s="140"/>
      <c r="S604" s="140"/>
      <c r="T604" s="140"/>
      <c r="U604" s="140"/>
      <c r="V604" s="140"/>
      <c r="W604" s="140"/>
      <c r="X604" s="140"/>
      <c r="Y604" s="140"/>
      <c r="Z604" s="140"/>
    </row>
    <row r="605" spans="1:26" ht="15.75" customHeight="1">
      <c r="A605" s="142"/>
      <c r="B605" s="141"/>
      <c r="C605" s="142"/>
      <c r="D605" s="142"/>
      <c r="E605" s="86"/>
      <c r="F605" s="86"/>
      <c r="G605" s="140"/>
      <c r="H605" s="140"/>
      <c r="I605" s="140"/>
      <c r="J605" s="140"/>
      <c r="K605" s="140"/>
      <c r="L605" s="140"/>
      <c r="M605" s="140"/>
      <c r="N605" s="140"/>
      <c r="O605" s="140"/>
      <c r="P605" s="140"/>
      <c r="Q605" s="140"/>
      <c r="R605" s="140"/>
      <c r="S605" s="140"/>
      <c r="T605" s="140"/>
      <c r="U605" s="140"/>
      <c r="V605" s="140"/>
      <c r="W605" s="140"/>
      <c r="X605" s="140"/>
      <c r="Y605" s="140"/>
      <c r="Z605" s="140"/>
    </row>
    <row r="606" spans="1:26" ht="15.75" customHeight="1">
      <c r="A606" s="142"/>
      <c r="B606" s="141"/>
      <c r="C606" s="142"/>
      <c r="D606" s="142"/>
      <c r="E606" s="86"/>
      <c r="F606" s="86"/>
      <c r="G606" s="140"/>
      <c r="H606" s="140"/>
      <c r="I606" s="140"/>
      <c r="J606" s="140"/>
      <c r="K606" s="140"/>
      <c r="L606" s="140"/>
      <c r="M606" s="140"/>
      <c r="N606" s="140"/>
      <c r="O606" s="140"/>
      <c r="P606" s="140"/>
      <c r="Q606" s="140"/>
      <c r="R606" s="140"/>
      <c r="S606" s="140"/>
      <c r="T606" s="140"/>
      <c r="U606" s="140"/>
      <c r="V606" s="140"/>
      <c r="W606" s="140"/>
      <c r="X606" s="140"/>
      <c r="Y606" s="140"/>
      <c r="Z606" s="140"/>
    </row>
    <row r="607" spans="1:26" ht="15.75" customHeight="1">
      <c r="A607" s="142"/>
      <c r="B607" s="141"/>
      <c r="C607" s="142"/>
      <c r="D607" s="142"/>
      <c r="E607" s="86"/>
      <c r="F607" s="86"/>
      <c r="G607" s="140"/>
      <c r="H607" s="140"/>
      <c r="I607" s="140"/>
      <c r="J607" s="140"/>
      <c r="K607" s="140"/>
      <c r="L607" s="140"/>
      <c r="M607" s="140"/>
      <c r="N607" s="140"/>
      <c r="O607" s="140"/>
      <c r="P607" s="140"/>
      <c r="Q607" s="140"/>
      <c r="R607" s="140"/>
      <c r="S607" s="140"/>
      <c r="T607" s="140"/>
      <c r="U607" s="140"/>
      <c r="V607" s="140"/>
      <c r="W607" s="140"/>
      <c r="X607" s="140"/>
      <c r="Y607" s="140"/>
      <c r="Z607" s="140"/>
    </row>
    <row r="608" spans="1:26" ht="15.75" customHeight="1">
      <c r="A608" s="142"/>
      <c r="B608" s="141"/>
      <c r="C608" s="142"/>
      <c r="D608" s="142"/>
      <c r="E608" s="86"/>
      <c r="F608" s="86"/>
      <c r="G608" s="140"/>
      <c r="H608" s="140"/>
      <c r="I608" s="140"/>
      <c r="J608" s="140"/>
      <c r="K608" s="140"/>
      <c r="L608" s="140"/>
      <c r="M608" s="140"/>
      <c r="N608" s="140"/>
      <c r="O608" s="140"/>
      <c r="P608" s="140"/>
      <c r="Q608" s="140"/>
      <c r="R608" s="140"/>
      <c r="S608" s="140"/>
      <c r="T608" s="140"/>
      <c r="U608" s="140"/>
      <c r="V608" s="140"/>
      <c r="W608" s="140"/>
      <c r="X608" s="140"/>
      <c r="Y608" s="140"/>
      <c r="Z608" s="140"/>
    </row>
    <row r="609" spans="1:26" ht="15.75" customHeight="1">
      <c r="A609" s="142"/>
      <c r="B609" s="141"/>
      <c r="C609" s="142"/>
      <c r="D609" s="142"/>
      <c r="E609" s="86"/>
      <c r="F609" s="86"/>
      <c r="G609" s="140"/>
      <c r="H609" s="140"/>
      <c r="I609" s="140"/>
      <c r="J609" s="140"/>
      <c r="K609" s="140"/>
      <c r="L609" s="140"/>
      <c r="M609" s="140"/>
      <c r="N609" s="140"/>
      <c r="O609" s="140"/>
      <c r="P609" s="140"/>
      <c r="Q609" s="140"/>
      <c r="R609" s="140"/>
      <c r="S609" s="140"/>
      <c r="T609" s="140"/>
      <c r="U609" s="140"/>
      <c r="V609" s="140"/>
      <c r="W609" s="140"/>
      <c r="X609" s="140"/>
      <c r="Y609" s="140"/>
      <c r="Z609" s="140"/>
    </row>
    <row r="610" spans="1:26" ht="15.75" customHeight="1">
      <c r="A610" s="142"/>
      <c r="B610" s="141"/>
      <c r="C610" s="142"/>
      <c r="D610" s="142"/>
      <c r="E610" s="86"/>
      <c r="F610" s="86"/>
      <c r="G610" s="140"/>
      <c r="H610" s="140"/>
      <c r="I610" s="140"/>
      <c r="J610" s="140"/>
      <c r="K610" s="140"/>
      <c r="L610" s="140"/>
      <c r="M610" s="140"/>
      <c r="N610" s="140"/>
      <c r="O610" s="140"/>
      <c r="P610" s="140"/>
      <c r="Q610" s="140"/>
      <c r="R610" s="140"/>
      <c r="S610" s="140"/>
      <c r="T610" s="140"/>
      <c r="U610" s="140"/>
      <c r="V610" s="140"/>
      <c r="W610" s="140"/>
      <c r="X610" s="140"/>
      <c r="Y610" s="140"/>
      <c r="Z610" s="140"/>
    </row>
    <row r="611" spans="1:26" ht="15.75" customHeight="1">
      <c r="A611" s="142"/>
      <c r="B611" s="141"/>
      <c r="C611" s="142"/>
      <c r="D611" s="142"/>
      <c r="E611" s="86"/>
      <c r="F611" s="86"/>
      <c r="G611" s="140"/>
      <c r="H611" s="140"/>
      <c r="I611" s="140"/>
      <c r="J611" s="140"/>
      <c r="K611" s="140"/>
      <c r="L611" s="140"/>
      <c r="M611" s="140"/>
      <c r="N611" s="140"/>
      <c r="O611" s="140"/>
      <c r="P611" s="140"/>
      <c r="Q611" s="140"/>
      <c r="R611" s="140"/>
      <c r="S611" s="140"/>
      <c r="T611" s="140"/>
      <c r="U611" s="140"/>
      <c r="V611" s="140"/>
      <c r="W611" s="140"/>
      <c r="X611" s="140"/>
      <c r="Y611" s="140"/>
      <c r="Z611" s="140"/>
    </row>
    <row r="612" spans="1:26" ht="15.75" customHeight="1">
      <c r="A612" s="142"/>
      <c r="B612" s="141"/>
      <c r="C612" s="142"/>
      <c r="D612" s="142"/>
      <c r="E612" s="86"/>
      <c r="F612" s="86"/>
      <c r="G612" s="140"/>
      <c r="H612" s="140"/>
      <c r="I612" s="140"/>
      <c r="J612" s="140"/>
      <c r="K612" s="140"/>
      <c r="L612" s="140"/>
      <c r="M612" s="140"/>
      <c r="N612" s="140"/>
      <c r="O612" s="140"/>
      <c r="P612" s="140"/>
      <c r="Q612" s="140"/>
      <c r="R612" s="140"/>
      <c r="S612" s="140"/>
      <c r="T612" s="140"/>
      <c r="U612" s="140"/>
      <c r="V612" s="140"/>
      <c r="W612" s="140"/>
      <c r="X612" s="140"/>
      <c r="Y612" s="140"/>
      <c r="Z612" s="140"/>
    </row>
    <row r="613" spans="1:26" ht="15.75" customHeight="1">
      <c r="A613" s="142"/>
      <c r="B613" s="141"/>
      <c r="C613" s="142"/>
      <c r="D613" s="142"/>
      <c r="E613" s="86"/>
      <c r="F613" s="86"/>
      <c r="G613" s="140"/>
      <c r="H613" s="140"/>
      <c r="I613" s="140"/>
      <c r="J613" s="140"/>
      <c r="K613" s="140"/>
      <c r="L613" s="140"/>
      <c r="M613" s="140"/>
      <c r="N613" s="140"/>
      <c r="O613" s="140"/>
      <c r="P613" s="140"/>
      <c r="Q613" s="140"/>
      <c r="R613" s="140"/>
      <c r="S613" s="140"/>
      <c r="T613" s="140"/>
      <c r="U613" s="140"/>
      <c r="V613" s="140"/>
      <c r="W613" s="140"/>
      <c r="X613" s="140"/>
      <c r="Y613" s="140"/>
      <c r="Z613" s="140"/>
    </row>
    <row r="614" spans="1:26" ht="15.75" customHeight="1">
      <c r="A614" s="142"/>
      <c r="B614" s="141"/>
      <c r="C614" s="142"/>
      <c r="D614" s="142"/>
      <c r="E614" s="86"/>
      <c r="F614" s="86"/>
      <c r="G614" s="140"/>
      <c r="H614" s="140"/>
      <c r="I614" s="140"/>
      <c r="J614" s="140"/>
      <c r="K614" s="140"/>
      <c r="L614" s="140"/>
      <c r="M614" s="140"/>
      <c r="N614" s="140"/>
      <c r="O614" s="140"/>
      <c r="P614" s="140"/>
      <c r="Q614" s="140"/>
      <c r="R614" s="140"/>
      <c r="S614" s="140"/>
      <c r="T614" s="140"/>
      <c r="U614" s="140"/>
      <c r="V614" s="140"/>
      <c r="W614" s="140"/>
      <c r="X614" s="140"/>
      <c r="Y614" s="140"/>
      <c r="Z614" s="140"/>
    </row>
    <row r="615" spans="1:26" ht="15.75" customHeight="1">
      <c r="A615" s="142"/>
      <c r="B615" s="141"/>
      <c r="C615" s="142"/>
      <c r="D615" s="142"/>
      <c r="E615" s="86"/>
      <c r="F615" s="86"/>
      <c r="G615" s="140"/>
      <c r="H615" s="140"/>
      <c r="I615" s="140"/>
      <c r="J615" s="140"/>
      <c r="K615" s="140"/>
      <c r="L615" s="140"/>
      <c r="M615" s="140"/>
      <c r="N615" s="140"/>
      <c r="O615" s="140"/>
      <c r="P615" s="140"/>
      <c r="Q615" s="140"/>
      <c r="R615" s="140"/>
      <c r="S615" s="140"/>
      <c r="T615" s="140"/>
      <c r="U615" s="140"/>
      <c r="V615" s="140"/>
      <c r="W615" s="140"/>
      <c r="X615" s="140"/>
      <c r="Y615" s="140"/>
      <c r="Z615" s="140"/>
    </row>
    <row r="616" spans="1:26" ht="15.75" customHeight="1">
      <c r="A616" s="142"/>
      <c r="B616" s="141"/>
      <c r="C616" s="142"/>
      <c r="D616" s="142"/>
      <c r="E616" s="86"/>
      <c r="F616" s="86"/>
      <c r="G616" s="140"/>
      <c r="H616" s="140"/>
      <c r="I616" s="140"/>
      <c r="J616" s="140"/>
      <c r="K616" s="140"/>
      <c r="L616" s="140"/>
      <c r="M616" s="140"/>
      <c r="N616" s="140"/>
      <c r="O616" s="140"/>
      <c r="P616" s="140"/>
      <c r="Q616" s="140"/>
      <c r="R616" s="140"/>
      <c r="S616" s="140"/>
      <c r="T616" s="140"/>
      <c r="U616" s="140"/>
      <c r="V616" s="140"/>
      <c r="W616" s="140"/>
      <c r="X616" s="140"/>
      <c r="Y616" s="140"/>
      <c r="Z616" s="140"/>
    </row>
    <row r="617" spans="1:26" ht="15.75" customHeight="1">
      <c r="A617" s="142"/>
      <c r="B617" s="141"/>
      <c r="C617" s="142"/>
      <c r="D617" s="142"/>
      <c r="E617" s="86"/>
      <c r="F617" s="86"/>
      <c r="G617" s="140"/>
      <c r="H617" s="140"/>
      <c r="I617" s="140"/>
      <c r="J617" s="140"/>
      <c r="K617" s="140"/>
      <c r="L617" s="140"/>
      <c r="M617" s="140"/>
      <c r="N617" s="140"/>
      <c r="O617" s="140"/>
      <c r="P617" s="140"/>
      <c r="Q617" s="140"/>
      <c r="R617" s="140"/>
      <c r="S617" s="140"/>
      <c r="T617" s="140"/>
      <c r="U617" s="140"/>
      <c r="V617" s="140"/>
      <c r="W617" s="140"/>
      <c r="X617" s="140"/>
      <c r="Y617" s="140"/>
      <c r="Z617" s="140"/>
    </row>
    <row r="618" spans="1:26" ht="15.75" customHeight="1">
      <c r="A618" s="142"/>
      <c r="B618" s="141"/>
      <c r="C618" s="142"/>
      <c r="D618" s="142"/>
      <c r="E618" s="86"/>
      <c r="F618" s="86"/>
      <c r="G618" s="140"/>
      <c r="H618" s="140"/>
      <c r="I618" s="140"/>
      <c r="J618" s="140"/>
      <c r="K618" s="140"/>
      <c r="L618" s="140"/>
      <c r="M618" s="140"/>
      <c r="N618" s="140"/>
      <c r="O618" s="140"/>
      <c r="P618" s="140"/>
      <c r="Q618" s="140"/>
      <c r="R618" s="140"/>
      <c r="S618" s="140"/>
      <c r="T618" s="140"/>
      <c r="U618" s="140"/>
      <c r="V618" s="140"/>
      <c r="W618" s="140"/>
      <c r="X618" s="140"/>
      <c r="Y618" s="140"/>
      <c r="Z618" s="140"/>
    </row>
    <row r="619" spans="1:26" ht="15.75" customHeight="1">
      <c r="A619" s="142"/>
      <c r="B619" s="141"/>
      <c r="C619" s="142"/>
      <c r="D619" s="142"/>
      <c r="E619" s="86"/>
      <c r="F619" s="86"/>
      <c r="G619" s="140"/>
      <c r="H619" s="140"/>
      <c r="I619" s="140"/>
      <c r="J619" s="140"/>
      <c r="K619" s="140"/>
      <c r="L619" s="140"/>
      <c r="M619" s="140"/>
      <c r="N619" s="140"/>
      <c r="O619" s="140"/>
      <c r="P619" s="140"/>
      <c r="Q619" s="140"/>
      <c r="R619" s="140"/>
      <c r="S619" s="140"/>
      <c r="T619" s="140"/>
      <c r="U619" s="140"/>
      <c r="V619" s="140"/>
      <c r="W619" s="140"/>
      <c r="X619" s="140"/>
      <c r="Y619" s="140"/>
      <c r="Z619" s="140"/>
    </row>
    <row r="620" spans="1:26" ht="15.75" customHeight="1">
      <c r="A620" s="142"/>
      <c r="B620" s="141"/>
      <c r="C620" s="142"/>
      <c r="D620" s="142"/>
      <c r="E620" s="86"/>
      <c r="F620" s="86"/>
      <c r="G620" s="140"/>
      <c r="H620" s="140"/>
      <c r="I620" s="140"/>
      <c r="J620" s="140"/>
      <c r="K620" s="140"/>
      <c r="L620" s="140"/>
      <c r="M620" s="140"/>
      <c r="N620" s="140"/>
      <c r="O620" s="140"/>
      <c r="P620" s="140"/>
      <c r="Q620" s="140"/>
      <c r="R620" s="140"/>
      <c r="S620" s="140"/>
      <c r="T620" s="140"/>
      <c r="U620" s="140"/>
      <c r="V620" s="140"/>
      <c r="W620" s="140"/>
      <c r="X620" s="140"/>
      <c r="Y620" s="140"/>
      <c r="Z620" s="140"/>
    </row>
    <row r="621" spans="1:26" ht="15.75" customHeight="1">
      <c r="A621" s="142"/>
      <c r="B621" s="141"/>
      <c r="C621" s="142"/>
      <c r="D621" s="142"/>
      <c r="E621" s="86"/>
      <c r="F621" s="86"/>
      <c r="G621" s="140"/>
      <c r="H621" s="140"/>
      <c r="I621" s="140"/>
      <c r="J621" s="140"/>
      <c r="K621" s="140"/>
      <c r="L621" s="140"/>
      <c r="M621" s="140"/>
      <c r="N621" s="140"/>
      <c r="O621" s="140"/>
      <c r="P621" s="140"/>
      <c r="Q621" s="140"/>
      <c r="R621" s="140"/>
      <c r="S621" s="140"/>
      <c r="T621" s="140"/>
      <c r="U621" s="140"/>
      <c r="V621" s="140"/>
      <c r="W621" s="140"/>
      <c r="X621" s="140"/>
      <c r="Y621" s="140"/>
      <c r="Z621" s="140"/>
    </row>
    <row r="622" spans="1:26" ht="15.75" customHeight="1">
      <c r="A622" s="142"/>
      <c r="B622" s="141"/>
      <c r="C622" s="142"/>
      <c r="D622" s="142"/>
      <c r="E622" s="86"/>
      <c r="F622" s="86"/>
      <c r="G622" s="140"/>
      <c r="H622" s="140"/>
      <c r="I622" s="140"/>
      <c r="J622" s="140"/>
      <c r="K622" s="140"/>
      <c r="L622" s="140"/>
      <c r="M622" s="140"/>
      <c r="N622" s="140"/>
      <c r="O622" s="140"/>
      <c r="P622" s="140"/>
      <c r="Q622" s="140"/>
      <c r="R622" s="140"/>
      <c r="S622" s="140"/>
      <c r="T622" s="140"/>
      <c r="U622" s="140"/>
      <c r="V622" s="140"/>
      <c r="W622" s="140"/>
      <c r="X622" s="140"/>
      <c r="Y622" s="140"/>
      <c r="Z622" s="140"/>
    </row>
    <row r="623" spans="1:26" ht="15.75" customHeight="1">
      <c r="A623" s="142"/>
      <c r="B623" s="141"/>
      <c r="C623" s="142"/>
      <c r="D623" s="142"/>
      <c r="E623" s="86"/>
      <c r="F623" s="86"/>
      <c r="G623" s="140"/>
      <c r="H623" s="140"/>
      <c r="I623" s="140"/>
      <c r="J623" s="140"/>
      <c r="K623" s="140"/>
      <c r="L623" s="140"/>
      <c r="M623" s="140"/>
      <c r="N623" s="140"/>
      <c r="O623" s="140"/>
      <c r="P623" s="140"/>
      <c r="Q623" s="140"/>
      <c r="R623" s="140"/>
      <c r="S623" s="140"/>
      <c r="T623" s="140"/>
      <c r="U623" s="140"/>
      <c r="V623" s="140"/>
      <c r="W623" s="140"/>
      <c r="X623" s="140"/>
      <c r="Y623" s="140"/>
      <c r="Z623" s="140"/>
    </row>
    <row r="624" spans="1:26" ht="15.75" customHeight="1">
      <c r="A624" s="142"/>
      <c r="B624" s="141"/>
      <c r="C624" s="142"/>
      <c r="D624" s="142"/>
      <c r="E624" s="86"/>
      <c r="F624" s="86"/>
      <c r="G624" s="140"/>
      <c r="H624" s="140"/>
      <c r="I624" s="140"/>
      <c r="J624" s="140"/>
      <c r="K624" s="140"/>
      <c r="L624" s="140"/>
      <c r="M624" s="140"/>
      <c r="N624" s="140"/>
      <c r="O624" s="140"/>
      <c r="P624" s="140"/>
      <c r="Q624" s="140"/>
      <c r="R624" s="140"/>
      <c r="S624" s="140"/>
      <c r="T624" s="140"/>
      <c r="U624" s="140"/>
      <c r="V624" s="140"/>
      <c r="W624" s="140"/>
      <c r="X624" s="140"/>
      <c r="Y624" s="140"/>
      <c r="Z624" s="140"/>
    </row>
    <row r="625" spans="1:26" ht="15.75" customHeight="1">
      <c r="A625" s="142"/>
      <c r="B625" s="141"/>
      <c r="C625" s="142"/>
      <c r="D625" s="142"/>
      <c r="E625" s="86"/>
      <c r="F625" s="86"/>
      <c r="G625" s="140"/>
      <c r="H625" s="140"/>
      <c r="I625" s="140"/>
      <c r="J625" s="140"/>
      <c r="K625" s="140"/>
      <c r="L625" s="140"/>
      <c r="M625" s="140"/>
      <c r="N625" s="140"/>
      <c r="O625" s="140"/>
      <c r="P625" s="140"/>
      <c r="Q625" s="140"/>
      <c r="R625" s="140"/>
      <c r="S625" s="140"/>
      <c r="T625" s="140"/>
      <c r="U625" s="140"/>
      <c r="V625" s="140"/>
      <c r="W625" s="140"/>
      <c r="X625" s="140"/>
      <c r="Y625" s="140"/>
      <c r="Z625" s="140"/>
    </row>
    <row r="626" spans="1:26" ht="15.75" customHeight="1">
      <c r="A626" s="142"/>
      <c r="B626" s="141"/>
      <c r="C626" s="142"/>
      <c r="D626" s="142"/>
      <c r="E626" s="86"/>
      <c r="F626" s="86"/>
      <c r="G626" s="140"/>
      <c r="H626" s="140"/>
      <c r="I626" s="140"/>
      <c r="J626" s="140"/>
      <c r="K626" s="140"/>
      <c r="L626" s="140"/>
      <c r="M626" s="140"/>
      <c r="N626" s="140"/>
      <c r="O626" s="140"/>
      <c r="P626" s="140"/>
      <c r="Q626" s="140"/>
      <c r="R626" s="140"/>
      <c r="S626" s="140"/>
      <c r="T626" s="140"/>
      <c r="U626" s="140"/>
      <c r="V626" s="140"/>
      <c r="W626" s="140"/>
      <c r="X626" s="140"/>
      <c r="Y626" s="140"/>
      <c r="Z626" s="140"/>
    </row>
    <row r="627" spans="1:26" ht="15.75" customHeight="1">
      <c r="A627" s="142"/>
      <c r="B627" s="141"/>
      <c r="C627" s="142"/>
      <c r="D627" s="142"/>
      <c r="E627" s="86"/>
      <c r="F627" s="86"/>
      <c r="G627" s="140"/>
      <c r="H627" s="140"/>
      <c r="I627" s="140"/>
      <c r="J627" s="140"/>
      <c r="K627" s="140"/>
      <c r="L627" s="140"/>
      <c r="M627" s="140"/>
      <c r="N627" s="140"/>
      <c r="O627" s="140"/>
      <c r="P627" s="140"/>
      <c r="Q627" s="140"/>
      <c r="R627" s="140"/>
      <c r="S627" s="140"/>
      <c r="T627" s="140"/>
      <c r="U627" s="140"/>
      <c r="V627" s="140"/>
      <c r="W627" s="140"/>
      <c r="X627" s="140"/>
      <c r="Y627" s="140"/>
      <c r="Z627" s="140"/>
    </row>
    <row r="628" spans="1:26" ht="15.75" customHeight="1">
      <c r="A628" s="142"/>
      <c r="B628" s="141"/>
      <c r="C628" s="142"/>
      <c r="D628" s="142"/>
      <c r="E628" s="86"/>
      <c r="F628" s="86"/>
      <c r="G628" s="140"/>
      <c r="H628" s="140"/>
      <c r="I628" s="140"/>
      <c r="J628" s="140"/>
      <c r="K628" s="140"/>
      <c r="L628" s="140"/>
      <c r="M628" s="140"/>
      <c r="N628" s="140"/>
      <c r="O628" s="140"/>
      <c r="P628" s="140"/>
      <c r="Q628" s="140"/>
      <c r="R628" s="140"/>
      <c r="S628" s="140"/>
      <c r="T628" s="140"/>
      <c r="U628" s="140"/>
      <c r="V628" s="140"/>
      <c r="W628" s="140"/>
      <c r="X628" s="140"/>
      <c r="Y628" s="140"/>
      <c r="Z628" s="140"/>
    </row>
    <row r="629" spans="1:26" ht="15.75" customHeight="1">
      <c r="A629" s="142"/>
      <c r="B629" s="141"/>
      <c r="C629" s="142"/>
      <c r="D629" s="142"/>
      <c r="E629" s="86"/>
      <c r="F629" s="86"/>
      <c r="G629" s="140"/>
      <c r="H629" s="140"/>
      <c r="I629" s="140"/>
      <c r="J629" s="140"/>
      <c r="K629" s="140"/>
      <c r="L629" s="140"/>
      <c r="M629" s="140"/>
      <c r="N629" s="140"/>
      <c r="O629" s="140"/>
      <c r="P629" s="140"/>
      <c r="Q629" s="140"/>
      <c r="R629" s="140"/>
      <c r="S629" s="140"/>
      <c r="T629" s="140"/>
      <c r="U629" s="140"/>
      <c r="V629" s="140"/>
      <c r="W629" s="140"/>
      <c r="X629" s="140"/>
      <c r="Y629" s="140"/>
      <c r="Z629" s="140"/>
    </row>
    <row r="630" spans="1:26" ht="15.75" customHeight="1">
      <c r="A630" s="142"/>
      <c r="B630" s="141"/>
      <c r="C630" s="142"/>
      <c r="D630" s="142"/>
      <c r="E630" s="86"/>
      <c r="F630" s="86"/>
      <c r="G630" s="140"/>
      <c r="H630" s="140"/>
      <c r="I630" s="140"/>
      <c r="J630" s="140"/>
      <c r="K630" s="140"/>
      <c r="L630" s="140"/>
      <c r="M630" s="140"/>
      <c r="N630" s="140"/>
      <c r="O630" s="140"/>
      <c r="P630" s="140"/>
      <c r="Q630" s="140"/>
      <c r="R630" s="140"/>
      <c r="S630" s="140"/>
      <c r="T630" s="140"/>
      <c r="U630" s="140"/>
      <c r="V630" s="140"/>
      <c r="W630" s="140"/>
      <c r="X630" s="140"/>
      <c r="Y630" s="140"/>
      <c r="Z630" s="140"/>
    </row>
    <row r="631" spans="1:26" ht="15.75" customHeight="1">
      <c r="A631" s="142"/>
      <c r="B631" s="141"/>
      <c r="C631" s="142"/>
      <c r="D631" s="142"/>
      <c r="E631" s="86"/>
      <c r="F631" s="86"/>
      <c r="G631" s="140"/>
      <c r="H631" s="140"/>
      <c r="I631" s="140"/>
      <c r="J631" s="140"/>
      <c r="K631" s="140"/>
      <c r="L631" s="140"/>
      <c r="M631" s="140"/>
      <c r="N631" s="140"/>
      <c r="O631" s="140"/>
      <c r="P631" s="140"/>
      <c r="Q631" s="140"/>
      <c r="R631" s="140"/>
      <c r="S631" s="140"/>
      <c r="T631" s="140"/>
      <c r="U631" s="140"/>
      <c r="V631" s="140"/>
      <c r="W631" s="140"/>
      <c r="X631" s="140"/>
      <c r="Y631" s="140"/>
      <c r="Z631" s="140"/>
    </row>
    <row r="632" spans="1:26" ht="15.75" customHeight="1">
      <c r="A632" s="142"/>
      <c r="B632" s="141"/>
      <c r="C632" s="142"/>
      <c r="D632" s="142"/>
      <c r="E632" s="86"/>
      <c r="F632" s="86"/>
      <c r="G632" s="140"/>
      <c r="H632" s="140"/>
      <c r="I632" s="140"/>
      <c r="J632" s="140"/>
      <c r="K632" s="140"/>
      <c r="L632" s="140"/>
      <c r="M632" s="140"/>
      <c r="N632" s="140"/>
      <c r="O632" s="140"/>
      <c r="P632" s="140"/>
      <c r="Q632" s="140"/>
      <c r="R632" s="140"/>
      <c r="S632" s="140"/>
      <c r="T632" s="140"/>
      <c r="U632" s="140"/>
      <c r="V632" s="140"/>
      <c r="W632" s="140"/>
      <c r="X632" s="140"/>
      <c r="Y632" s="140"/>
      <c r="Z632" s="140"/>
    </row>
    <row r="633" spans="1:26" ht="15.75" customHeight="1">
      <c r="A633" s="142"/>
      <c r="B633" s="141"/>
      <c r="C633" s="142"/>
      <c r="D633" s="142"/>
      <c r="E633" s="86"/>
      <c r="F633" s="86"/>
      <c r="G633" s="140"/>
      <c r="H633" s="140"/>
      <c r="I633" s="140"/>
      <c r="J633" s="140"/>
      <c r="K633" s="140"/>
      <c r="L633" s="140"/>
      <c r="M633" s="140"/>
      <c r="N633" s="140"/>
      <c r="O633" s="140"/>
      <c r="P633" s="140"/>
      <c r="Q633" s="140"/>
      <c r="R633" s="140"/>
      <c r="S633" s="140"/>
      <c r="T633" s="140"/>
      <c r="U633" s="140"/>
      <c r="V633" s="140"/>
      <c r="W633" s="140"/>
      <c r="X633" s="140"/>
      <c r="Y633" s="140"/>
      <c r="Z633" s="140"/>
    </row>
    <row r="634" spans="1:26" ht="15.75" customHeight="1">
      <c r="A634" s="142"/>
      <c r="B634" s="141"/>
      <c r="C634" s="142"/>
      <c r="D634" s="142"/>
      <c r="E634" s="86"/>
      <c r="F634" s="86"/>
      <c r="G634" s="140"/>
      <c r="H634" s="140"/>
      <c r="I634" s="140"/>
      <c r="J634" s="140"/>
      <c r="K634" s="140"/>
      <c r="L634" s="140"/>
      <c r="M634" s="140"/>
      <c r="N634" s="140"/>
      <c r="O634" s="140"/>
      <c r="P634" s="140"/>
      <c r="Q634" s="140"/>
      <c r="R634" s="140"/>
      <c r="S634" s="140"/>
      <c r="T634" s="140"/>
      <c r="U634" s="140"/>
      <c r="V634" s="140"/>
      <c r="W634" s="140"/>
      <c r="X634" s="140"/>
      <c r="Y634" s="140"/>
      <c r="Z634" s="140"/>
    </row>
    <row r="635" spans="1:26" ht="15.75" customHeight="1">
      <c r="A635" s="142"/>
      <c r="B635" s="141"/>
      <c r="C635" s="142"/>
      <c r="D635" s="142"/>
      <c r="E635" s="86"/>
      <c r="F635" s="86"/>
      <c r="G635" s="140"/>
      <c r="H635" s="140"/>
      <c r="I635" s="140"/>
      <c r="J635" s="140"/>
      <c r="K635" s="140"/>
      <c r="L635" s="140"/>
      <c r="M635" s="140"/>
      <c r="N635" s="140"/>
      <c r="O635" s="140"/>
      <c r="P635" s="140"/>
      <c r="Q635" s="140"/>
      <c r="R635" s="140"/>
      <c r="S635" s="140"/>
      <c r="T635" s="140"/>
      <c r="U635" s="140"/>
      <c r="V635" s="140"/>
      <c r="W635" s="140"/>
      <c r="X635" s="140"/>
      <c r="Y635" s="140"/>
      <c r="Z635" s="140"/>
    </row>
    <row r="636" spans="1:26" ht="15.75" customHeight="1">
      <c r="A636" s="142"/>
      <c r="B636" s="141"/>
      <c r="C636" s="142"/>
      <c r="D636" s="142"/>
      <c r="E636" s="86"/>
      <c r="F636" s="86"/>
      <c r="G636" s="140"/>
      <c r="H636" s="140"/>
      <c r="I636" s="140"/>
      <c r="J636" s="140"/>
      <c r="K636" s="140"/>
      <c r="L636" s="140"/>
      <c r="M636" s="140"/>
      <c r="N636" s="140"/>
      <c r="O636" s="140"/>
      <c r="P636" s="140"/>
      <c r="Q636" s="140"/>
      <c r="R636" s="140"/>
      <c r="S636" s="140"/>
      <c r="T636" s="140"/>
      <c r="U636" s="140"/>
      <c r="V636" s="140"/>
      <c r="W636" s="140"/>
      <c r="X636" s="140"/>
      <c r="Y636" s="140"/>
      <c r="Z636" s="140"/>
    </row>
    <row r="637" spans="1:26" ht="15.75" customHeight="1">
      <c r="A637" s="142"/>
      <c r="B637" s="141"/>
      <c r="C637" s="142"/>
      <c r="D637" s="142"/>
      <c r="E637" s="86"/>
      <c r="F637" s="86"/>
      <c r="G637" s="140"/>
      <c r="H637" s="140"/>
      <c r="I637" s="140"/>
      <c r="J637" s="140"/>
      <c r="K637" s="140"/>
      <c r="L637" s="140"/>
      <c r="M637" s="140"/>
      <c r="N637" s="140"/>
      <c r="O637" s="140"/>
      <c r="P637" s="140"/>
      <c r="Q637" s="140"/>
      <c r="R637" s="140"/>
      <c r="S637" s="140"/>
      <c r="T637" s="140"/>
      <c r="U637" s="140"/>
      <c r="V637" s="140"/>
      <c r="W637" s="140"/>
      <c r="X637" s="140"/>
      <c r="Y637" s="140"/>
      <c r="Z637" s="140"/>
    </row>
    <row r="638" spans="1:26" ht="15.75" customHeight="1">
      <c r="A638" s="142"/>
      <c r="B638" s="141"/>
      <c r="C638" s="142"/>
      <c r="D638" s="142"/>
      <c r="E638" s="86"/>
      <c r="F638" s="86"/>
      <c r="G638" s="140"/>
      <c r="H638" s="140"/>
      <c r="I638" s="140"/>
      <c r="J638" s="140"/>
      <c r="K638" s="140"/>
      <c r="L638" s="140"/>
      <c r="M638" s="140"/>
      <c r="N638" s="140"/>
      <c r="O638" s="140"/>
      <c r="P638" s="140"/>
      <c r="Q638" s="140"/>
      <c r="R638" s="140"/>
      <c r="S638" s="140"/>
      <c r="T638" s="140"/>
      <c r="U638" s="140"/>
      <c r="V638" s="140"/>
      <c r="W638" s="140"/>
      <c r="X638" s="140"/>
      <c r="Y638" s="140"/>
      <c r="Z638" s="140"/>
    </row>
    <row r="639" spans="1:26" ht="15.75" customHeight="1">
      <c r="A639" s="142"/>
      <c r="B639" s="141"/>
      <c r="C639" s="142"/>
      <c r="D639" s="142"/>
      <c r="E639" s="86"/>
      <c r="F639" s="86"/>
      <c r="G639" s="140"/>
      <c r="H639" s="140"/>
      <c r="I639" s="140"/>
      <c r="J639" s="140"/>
      <c r="K639" s="140"/>
      <c r="L639" s="140"/>
      <c r="M639" s="140"/>
      <c r="N639" s="140"/>
      <c r="O639" s="140"/>
      <c r="P639" s="140"/>
      <c r="Q639" s="140"/>
      <c r="R639" s="140"/>
      <c r="S639" s="140"/>
      <c r="T639" s="140"/>
      <c r="U639" s="140"/>
      <c r="V639" s="140"/>
      <c r="W639" s="140"/>
      <c r="X639" s="140"/>
      <c r="Y639" s="140"/>
      <c r="Z639" s="140"/>
    </row>
    <row r="640" spans="1:26" ht="15.75" customHeight="1">
      <c r="A640" s="142"/>
      <c r="B640" s="141"/>
      <c r="C640" s="142"/>
      <c r="D640" s="142"/>
      <c r="E640" s="86"/>
      <c r="F640" s="86"/>
      <c r="G640" s="140"/>
      <c r="H640" s="140"/>
      <c r="I640" s="140"/>
      <c r="J640" s="140"/>
      <c r="K640" s="140"/>
      <c r="L640" s="140"/>
      <c r="M640" s="140"/>
      <c r="N640" s="140"/>
      <c r="O640" s="140"/>
      <c r="P640" s="140"/>
      <c r="Q640" s="140"/>
      <c r="R640" s="140"/>
      <c r="S640" s="140"/>
      <c r="T640" s="140"/>
      <c r="U640" s="140"/>
      <c r="V640" s="140"/>
      <c r="W640" s="140"/>
      <c r="X640" s="140"/>
      <c r="Y640" s="140"/>
      <c r="Z640" s="140"/>
    </row>
    <row r="641" spans="1:26" ht="15.75" customHeight="1">
      <c r="A641" s="142"/>
      <c r="B641" s="141"/>
      <c r="C641" s="142"/>
      <c r="D641" s="142"/>
      <c r="E641" s="86"/>
      <c r="F641" s="86"/>
      <c r="G641" s="140"/>
      <c r="H641" s="140"/>
      <c r="I641" s="140"/>
      <c r="J641" s="140"/>
      <c r="K641" s="140"/>
      <c r="L641" s="140"/>
      <c r="M641" s="140"/>
      <c r="N641" s="140"/>
      <c r="O641" s="140"/>
      <c r="P641" s="140"/>
      <c r="Q641" s="140"/>
      <c r="R641" s="140"/>
      <c r="S641" s="140"/>
      <c r="T641" s="140"/>
      <c r="U641" s="140"/>
      <c r="V641" s="140"/>
      <c r="W641" s="140"/>
      <c r="X641" s="140"/>
      <c r="Y641" s="140"/>
      <c r="Z641" s="140"/>
    </row>
    <row r="642" spans="1:26" ht="15.75" customHeight="1">
      <c r="A642" s="142"/>
      <c r="B642" s="141"/>
      <c r="C642" s="142"/>
      <c r="D642" s="142"/>
      <c r="E642" s="86"/>
      <c r="F642" s="86"/>
      <c r="G642" s="140"/>
      <c r="H642" s="140"/>
      <c r="I642" s="140"/>
      <c r="J642" s="140"/>
      <c r="K642" s="140"/>
      <c r="L642" s="140"/>
      <c r="M642" s="140"/>
      <c r="N642" s="140"/>
      <c r="O642" s="140"/>
      <c r="P642" s="140"/>
      <c r="Q642" s="140"/>
      <c r="R642" s="140"/>
      <c r="S642" s="140"/>
      <c r="T642" s="140"/>
      <c r="U642" s="140"/>
      <c r="V642" s="140"/>
      <c r="W642" s="140"/>
      <c r="X642" s="140"/>
      <c r="Y642" s="140"/>
      <c r="Z642" s="140"/>
    </row>
    <row r="643" spans="1:26" ht="15.75" customHeight="1">
      <c r="A643" s="142"/>
      <c r="B643" s="141"/>
      <c r="C643" s="142"/>
      <c r="D643" s="142"/>
      <c r="E643" s="86"/>
      <c r="F643" s="86"/>
      <c r="G643" s="140"/>
      <c r="H643" s="140"/>
      <c r="I643" s="140"/>
      <c r="J643" s="140"/>
      <c r="K643" s="140"/>
      <c r="L643" s="140"/>
      <c r="M643" s="140"/>
      <c r="N643" s="140"/>
      <c r="O643" s="140"/>
      <c r="P643" s="140"/>
      <c r="Q643" s="140"/>
      <c r="R643" s="140"/>
      <c r="S643" s="140"/>
      <c r="T643" s="140"/>
      <c r="U643" s="140"/>
      <c r="V643" s="140"/>
      <c r="W643" s="140"/>
      <c r="X643" s="140"/>
      <c r="Y643" s="140"/>
      <c r="Z643" s="140"/>
    </row>
    <row r="644" spans="1:26" ht="15.75" customHeight="1">
      <c r="A644" s="142"/>
      <c r="B644" s="141"/>
      <c r="C644" s="142"/>
      <c r="D644" s="142"/>
      <c r="E644" s="86"/>
      <c r="F644" s="86"/>
      <c r="G644" s="140"/>
      <c r="H644" s="140"/>
      <c r="I644" s="140"/>
      <c r="J644" s="140"/>
      <c r="K644" s="140"/>
      <c r="L644" s="140"/>
      <c r="M644" s="140"/>
      <c r="N644" s="140"/>
      <c r="O644" s="140"/>
      <c r="P644" s="140"/>
      <c r="Q644" s="140"/>
      <c r="R644" s="140"/>
      <c r="S644" s="140"/>
      <c r="T644" s="140"/>
      <c r="U644" s="140"/>
      <c r="V644" s="140"/>
      <c r="W644" s="140"/>
      <c r="X644" s="140"/>
      <c r="Y644" s="140"/>
      <c r="Z644" s="140"/>
    </row>
    <row r="645" spans="1:26" ht="15.75" customHeight="1">
      <c r="A645" s="142"/>
      <c r="B645" s="141"/>
      <c r="C645" s="142"/>
      <c r="D645" s="142"/>
      <c r="E645" s="86"/>
      <c r="F645" s="86"/>
      <c r="G645" s="140"/>
      <c r="H645" s="140"/>
      <c r="I645" s="140"/>
      <c r="J645" s="140"/>
      <c r="K645" s="140"/>
      <c r="L645" s="140"/>
      <c r="M645" s="140"/>
      <c r="N645" s="140"/>
      <c r="O645" s="140"/>
      <c r="P645" s="140"/>
      <c r="Q645" s="140"/>
      <c r="R645" s="140"/>
      <c r="S645" s="140"/>
      <c r="T645" s="140"/>
      <c r="U645" s="140"/>
      <c r="V645" s="140"/>
      <c r="W645" s="140"/>
      <c r="X645" s="140"/>
      <c r="Y645" s="140"/>
      <c r="Z645" s="140"/>
    </row>
    <row r="646" spans="1:26" ht="15.75" customHeight="1">
      <c r="A646" s="142"/>
      <c r="B646" s="141"/>
      <c r="C646" s="142"/>
      <c r="D646" s="142"/>
      <c r="E646" s="86"/>
      <c r="F646" s="86"/>
      <c r="G646" s="140"/>
      <c r="H646" s="140"/>
      <c r="I646" s="140"/>
      <c r="J646" s="140"/>
      <c r="K646" s="140"/>
      <c r="L646" s="140"/>
      <c r="M646" s="140"/>
      <c r="N646" s="140"/>
      <c r="O646" s="140"/>
      <c r="P646" s="140"/>
      <c r="Q646" s="140"/>
      <c r="R646" s="140"/>
      <c r="S646" s="140"/>
      <c r="T646" s="140"/>
      <c r="U646" s="140"/>
      <c r="V646" s="140"/>
      <c r="W646" s="140"/>
      <c r="X646" s="140"/>
      <c r="Y646" s="140"/>
      <c r="Z646" s="140"/>
    </row>
    <row r="647" spans="1:26" ht="15.75" customHeight="1">
      <c r="A647" s="142"/>
      <c r="B647" s="141"/>
      <c r="C647" s="142"/>
      <c r="D647" s="142"/>
      <c r="E647" s="86"/>
      <c r="F647" s="86"/>
      <c r="G647" s="140"/>
      <c r="H647" s="140"/>
      <c r="I647" s="140"/>
      <c r="J647" s="140"/>
      <c r="K647" s="140"/>
      <c r="L647" s="140"/>
      <c r="M647" s="140"/>
      <c r="N647" s="140"/>
      <c r="O647" s="140"/>
      <c r="P647" s="140"/>
      <c r="Q647" s="140"/>
      <c r="R647" s="140"/>
      <c r="S647" s="140"/>
      <c r="T647" s="140"/>
      <c r="U647" s="140"/>
      <c r="V647" s="140"/>
      <c r="W647" s="140"/>
      <c r="X647" s="140"/>
      <c r="Y647" s="140"/>
      <c r="Z647" s="140"/>
    </row>
    <row r="648" spans="1:26" ht="15.75" customHeight="1">
      <c r="A648" s="142"/>
      <c r="B648" s="141"/>
      <c r="C648" s="142"/>
      <c r="D648" s="142"/>
      <c r="E648" s="86"/>
      <c r="F648" s="86"/>
      <c r="G648" s="140"/>
      <c r="H648" s="140"/>
      <c r="I648" s="140"/>
      <c r="J648" s="140"/>
      <c r="K648" s="140"/>
      <c r="L648" s="140"/>
      <c r="M648" s="140"/>
      <c r="N648" s="140"/>
      <c r="O648" s="140"/>
      <c r="P648" s="140"/>
      <c r="Q648" s="140"/>
      <c r="R648" s="140"/>
      <c r="S648" s="140"/>
      <c r="T648" s="140"/>
      <c r="U648" s="140"/>
      <c r="V648" s="140"/>
      <c r="W648" s="140"/>
      <c r="X648" s="140"/>
      <c r="Y648" s="140"/>
      <c r="Z648" s="140"/>
    </row>
    <row r="649" spans="1:26" ht="15.75" customHeight="1">
      <c r="A649" s="142"/>
      <c r="B649" s="141"/>
      <c r="C649" s="142"/>
      <c r="D649" s="142"/>
      <c r="E649" s="86"/>
      <c r="F649" s="86"/>
      <c r="G649" s="140"/>
      <c r="H649" s="140"/>
      <c r="I649" s="140"/>
      <c r="J649" s="140"/>
      <c r="K649" s="140"/>
      <c r="L649" s="140"/>
      <c r="M649" s="140"/>
      <c r="N649" s="140"/>
      <c r="O649" s="140"/>
      <c r="P649" s="140"/>
      <c r="Q649" s="140"/>
      <c r="R649" s="140"/>
      <c r="S649" s="140"/>
      <c r="T649" s="140"/>
      <c r="U649" s="140"/>
      <c r="V649" s="140"/>
      <c r="W649" s="140"/>
      <c r="X649" s="140"/>
      <c r="Y649" s="140"/>
      <c r="Z649" s="140"/>
    </row>
    <row r="650" spans="1:26" ht="15.75" customHeight="1">
      <c r="A650" s="142"/>
      <c r="B650" s="141"/>
      <c r="C650" s="142"/>
      <c r="D650" s="142"/>
      <c r="E650" s="86"/>
      <c r="F650" s="86"/>
      <c r="G650" s="140"/>
      <c r="H650" s="140"/>
      <c r="I650" s="140"/>
      <c r="J650" s="140"/>
      <c r="K650" s="140"/>
      <c r="L650" s="140"/>
      <c r="M650" s="140"/>
      <c r="N650" s="140"/>
      <c r="O650" s="140"/>
      <c r="P650" s="140"/>
      <c r="Q650" s="140"/>
      <c r="R650" s="140"/>
      <c r="S650" s="140"/>
      <c r="T650" s="140"/>
      <c r="U650" s="140"/>
      <c r="V650" s="140"/>
      <c r="W650" s="140"/>
      <c r="X650" s="140"/>
      <c r="Y650" s="140"/>
      <c r="Z650" s="140"/>
    </row>
    <row r="651" spans="1:26" ht="15.75" customHeight="1">
      <c r="A651" s="142"/>
      <c r="B651" s="141"/>
      <c r="C651" s="142"/>
      <c r="D651" s="142"/>
      <c r="E651" s="86"/>
      <c r="F651" s="86"/>
      <c r="G651" s="140"/>
      <c r="H651" s="140"/>
      <c r="I651" s="140"/>
      <c r="J651" s="140"/>
      <c r="K651" s="140"/>
      <c r="L651" s="140"/>
      <c r="M651" s="140"/>
      <c r="N651" s="140"/>
      <c r="O651" s="140"/>
      <c r="P651" s="140"/>
      <c r="Q651" s="140"/>
      <c r="R651" s="140"/>
      <c r="S651" s="140"/>
      <c r="T651" s="140"/>
      <c r="U651" s="140"/>
      <c r="V651" s="140"/>
      <c r="W651" s="140"/>
      <c r="X651" s="140"/>
      <c r="Y651" s="140"/>
      <c r="Z651" s="140"/>
    </row>
    <row r="652" spans="1:26" ht="15.75" customHeight="1">
      <c r="A652" s="142"/>
      <c r="B652" s="141"/>
      <c r="C652" s="142"/>
      <c r="D652" s="142"/>
      <c r="E652" s="86"/>
      <c r="F652" s="86"/>
      <c r="G652" s="140"/>
      <c r="H652" s="140"/>
      <c r="I652" s="140"/>
      <c r="J652" s="140"/>
      <c r="K652" s="140"/>
      <c r="L652" s="140"/>
      <c r="M652" s="140"/>
      <c r="N652" s="140"/>
      <c r="O652" s="140"/>
      <c r="P652" s="140"/>
      <c r="Q652" s="140"/>
      <c r="R652" s="140"/>
      <c r="S652" s="140"/>
      <c r="T652" s="140"/>
      <c r="U652" s="140"/>
      <c r="V652" s="140"/>
      <c r="W652" s="140"/>
      <c r="X652" s="140"/>
      <c r="Y652" s="140"/>
      <c r="Z652" s="140"/>
    </row>
    <row r="653" spans="1:26" ht="15.75" customHeight="1">
      <c r="A653" s="142"/>
      <c r="B653" s="141"/>
      <c r="C653" s="142"/>
      <c r="D653" s="142"/>
      <c r="E653" s="86"/>
      <c r="F653" s="86"/>
      <c r="G653" s="140"/>
      <c r="H653" s="140"/>
      <c r="I653" s="140"/>
      <c r="J653" s="140"/>
      <c r="K653" s="140"/>
      <c r="L653" s="140"/>
      <c r="M653" s="140"/>
      <c r="N653" s="140"/>
      <c r="O653" s="140"/>
      <c r="P653" s="140"/>
      <c r="Q653" s="140"/>
      <c r="R653" s="140"/>
      <c r="S653" s="140"/>
      <c r="T653" s="140"/>
      <c r="U653" s="140"/>
      <c r="V653" s="140"/>
      <c r="W653" s="140"/>
      <c r="X653" s="140"/>
      <c r="Y653" s="140"/>
      <c r="Z653" s="140"/>
    </row>
    <row r="654" spans="1:26" ht="15.75" customHeight="1">
      <c r="A654" s="142"/>
      <c r="B654" s="141"/>
      <c r="C654" s="142"/>
      <c r="D654" s="142"/>
      <c r="E654" s="86"/>
      <c r="F654" s="86"/>
      <c r="G654" s="140"/>
      <c r="H654" s="140"/>
      <c r="I654" s="140"/>
      <c r="J654" s="140"/>
      <c r="K654" s="140"/>
      <c r="L654" s="140"/>
      <c r="M654" s="140"/>
      <c r="N654" s="140"/>
      <c r="O654" s="140"/>
      <c r="P654" s="140"/>
      <c r="Q654" s="140"/>
      <c r="R654" s="140"/>
      <c r="S654" s="140"/>
      <c r="T654" s="140"/>
      <c r="U654" s="140"/>
      <c r="V654" s="140"/>
      <c r="W654" s="140"/>
      <c r="X654" s="140"/>
      <c r="Y654" s="140"/>
      <c r="Z654" s="140"/>
    </row>
    <row r="655" spans="1:26" ht="15.75" customHeight="1">
      <c r="A655" s="142"/>
      <c r="B655" s="141"/>
      <c r="C655" s="142"/>
      <c r="D655" s="142"/>
      <c r="E655" s="86"/>
      <c r="F655" s="86"/>
      <c r="G655" s="140"/>
      <c r="H655" s="140"/>
      <c r="I655" s="140"/>
      <c r="J655" s="140"/>
      <c r="K655" s="140"/>
      <c r="L655" s="140"/>
      <c r="M655" s="140"/>
      <c r="N655" s="140"/>
      <c r="O655" s="140"/>
      <c r="P655" s="140"/>
      <c r="Q655" s="140"/>
      <c r="R655" s="140"/>
      <c r="S655" s="140"/>
      <c r="T655" s="140"/>
      <c r="U655" s="140"/>
      <c r="V655" s="140"/>
      <c r="W655" s="140"/>
      <c r="X655" s="140"/>
      <c r="Y655" s="140"/>
      <c r="Z655" s="140"/>
    </row>
    <row r="656" spans="1:26" ht="15.75" customHeight="1">
      <c r="A656" s="142"/>
      <c r="B656" s="141"/>
      <c r="C656" s="142"/>
      <c r="D656" s="142"/>
      <c r="E656" s="86"/>
      <c r="F656" s="86"/>
      <c r="G656" s="140"/>
      <c r="H656" s="140"/>
      <c r="I656" s="140"/>
      <c r="J656" s="140"/>
      <c r="K656" s="140"/>
      <c r="L656" s="140"/>
      <c r="M656" s="140"/>
      <c r="N656" s="140"/>
      <c r="O656" s="140"/>
      <c r="P656" s="140"/>
      <c r="Q656" s="140"/>
      <c r="R656" s="140"/>
      <c r="S656" s="140"/>
      <c r="T656" s="140"/>
      <c r="U656" s="140"/>
      <c r="V656" s="140"/>
      <c r="W656" s="140"/>
      <c r="X656" s="140"/>
      <c r="Y656" s="140"/>
      <c r="Z656" s="140"/>
    </row>
    <row r="657" spans="1:26" ht="15.75" customHeight="1">
      <c r="A657" s="142"/>
      <c r="B657" s="141"/>
      <c r="C657" s="142"/>
      <c r="D657" s="142"/>
      <c r="E657" s="86"/>
      <c r="F657" s="86"/>
      <c r="G657" s="140"/>
      <c r="H657" s="140"/>
      <c r="I657" s="140"/>
      <c r="J657" s="140"/>
      <c r="K657" s="140"/>
      <c r="L657" s="140"/>
      <c r="M657" s="140"/>
      <c r="N657" s="140"/>
      <c r="O657" s="140"/>
      <c r="P657" s="140"/>
      <c r="Q657" s="140"/>
      <c r="R657" s="140"/>
      <c r="S657" s="140"/>
      <c r="T657" s="140"/>
      <c r="U657" s="140"/>
      <c r="V657" s="140"/>
      <c r="W657" s="140"/>
      <c r="X657" s="140"/>
      <c r="Y657" s="140"/>
      <c r="Z657" s="140"/>
    </row>
    <row r="658" spans="1:26" ht="15.75" customHeight="1">
      <c r="A658" s="142"/>
      <c r="B658" s="141"/>
      <c r="C658" s="142"/>
      <c r="D658" s="142"/>
      <c r="E658" s="86"/>
      <c r="F658" s="86"/>
      <c r="G658" s="140"/>
      <c r="H658" s="140"/>
      <c r="I658" s="140"/>
      <c r="J658" s="140"/>
      <c r="K658" s="140"/>
      <c r="L658" s="140"/>
      <c r="M658" s="140"/>
      <c r="N658" s="140"/>
      <c r="O658" s="140"/>
      <c r="P658" s="140"/>
      <c r="Q658" s="140"/>
      <c r="R658" s="140"/>
      <c r="S658" s="140"/>
      <c r="T658" s="140"/>
      <c r="U658" s="140"/>
      <c r="V658" s="140"/>
      <c r="W658" s="140"/>
      <c r="X658" s="140"/>
      <c r="Y658" s="140"/>
      <c r="Z658" s="140"/>
    </row>
    <row r="659" spans="1:26" ht="15.75" customHeight="1">
      <c r="A659" s="142"/>
      <c r="B659" s="141"/>
      <c r="C659" s="142"/>
      <c r="D659" s="142"/>
      <c r="E659" s="86"/>
      <c r="F659" s="86"/>
      <c r="G659" s="140"/>
      <c r="H659" s="140"/>
      <c r="I659" s="140"/>
      <c r="J659" s="140"/>
      <c r="K659" s="140"/>
      <c r="L659" s="140"/>
      <c r="M659" s="140"/>
      <c r="N659" s="140"/>
      <c r="O659" s="140"/>
      <c r="P659" s="140"/>
      <c r="Q659" s="140"/>
      <c r="R659" s="140"/>
      <c r="S659" s="140"/>
      <c r="T659" s="140"/>
      <c r="U659" s="140"/>
      <c r="V659" s="140"/>
      <c r="W659" s="140"/>
      <c r="X659" s="140"/>
      <c r="Y659" s="140"/>
      <c r="Z659" s="140"/>
    </row>
    <row r="660" spans="1:26" ht="15.75" customHeight="1">
      <c r="A660" s="142"/>
      <c r="B660" s="141"/>
      <c r="C660" s="142"/>
      <c r="D660" s="142"/>
      <c r="E660" s="86"/>
      <c r="F660" s="86"/>
      <c r="G660" s="140"/>
      <c r="H660" s="140"/>
      <c r="I660" s="140"/>
      <c r="J660" s="140"/>
      <c r="K660" s="140"/>
      <c r="L660" s="140"/>
      <c r="M660" s="140"/>
      <c r="N660" s="140"/>
      <c r="O660" s="140"/>
      <c r="P660" s="140"/>
      <c r="Q660" s="140"/>
      <c r="R660" s="140"/>
      <c r="S660" s="140"/>
      <c r="T660" s="140"/>
      <c r="U660" s="140"/>
      <c r="V660" s="140"/>
      <c r="W660" s="140"/>
      <c r="X660" s="140"/>
      <c r="Y660" s="140"/>
      <c r="Z660" s="140"/>
    </row>
    <row r="661" spans="1:26" ht="15.75" customHeight="1">
      <c r="A661" s="142"/>
      <c r="B661" s="141"/>
      <c r="C661" s="142"/>
      <c r="D661" s="142"/>
      <c r="E661" s="86"/>
      <c r="F661" s="86"/>
      <c r="G661" s="140"/>
      <c r="H661" s="140"/>
      <c r="I661" s="140"/>
      <c r="J661" s="140"/>
      <c r="K661" s="140"/>
      <c r="L661" s="140"/>
      <c r="M661" s="140"/>
      <c r="N661" s="140"/>
      <c r="O661" s="140"/>
      <c r="P661" s="140"/>
      <c r="Q661" s="140"/>
      <c r="R661" s="140"/>
      <c r="S661" s="140"/>
      <c r="T661" s="140"/>
      <c r="U661" s="140"/>
      <c r="V661" s="140"/>
      <c r="W661" s="140"/>
      <c r="X661" s="140"/>
      <c r="Y661" s="140"/>
      <c r="Z661" s="140"/>
    </row>
    <row r="662" spans="1:26" ht="15.75" customHeight="1">
      <c r="A662" s="142"/>
      <c r="B662" s="141"/>
      <c r="C662" s="142"/>
      <c r="D662" s="142"/>
      <c r="E662" s="86"/>
      <c r="F662" s="86"/>
      <c r="G662" s="140"/>
      <c r="H662" s="140"/>
      <c r="I662" s="140"/>
      <c r="J662" s="140"/>
      <c r="K662" s="140"/>
      <c r="L662" s="140"/>
      <c r="M662" s="140"/>
      <c r="N662" s="140"/>
      <c r="O662" s="140"/>
      <c r="P662" s="140"/>
      <c r="Q662" s="140"/>
      <c r="R662" s="140"/>
      <c r="S662" s="140"/>
      <c r="T662" s="140"/>
      <c r="U662" s="140"/>
      <c r="V662" s="140"/>
      <c r="W662" s="140"/>
      <c r="X662" s="140"/>
      <c r="Y662" s="140"/>
      <c r="Z662" s="140"/>
    </row>
    <row r="663" spans="1:26" ht="15.75" customHeight="1">
      <c r="A663" s="142"/>
      <c r="B663" s="141"/>
      <c r="C663" s="142"/>
      <c r="D663" s="142"/>
      <c r="E663" s="86"/>
      <c r="F663" s="86"/>
      <c r="G663" s="140"/>
      <c r="H663" s="140"/>
      <c r="I663" s="140"/>
      <c r="J663" s="140"/>
      <c r="K663" s="140"/>
      <c r="L663" s="140"/>
      <c r="M663" s="140"/>
      <c r="N663" s="140"/>
      <c r="O663" s="140"/>
      <c r="P663" s="140"/>
      <c r="Q663" s="140"/>
      <c r="R663" s="140"/>
      <c r="S663" s="140"/>
      <c r="T663" s="140"/>
      <c r="U663" s="140"/>
      <c r="V663" s="140"/>
      <c r="W663" s="140"/>
      <c r="X663" s="140"/>
      <c r="Y663" s="140"/>
      <c r="Z663" s="140"/>
    </row>
    <row r="664" spans="1:26" ht="15.75" customHeight="1">
      <c r="A664" s="142"/>
      <c r="B664" s="141"/>
      <c r="C664" s="142"/>
      <c r="D664" s="142"/>
      <c r="E664" s="86"/>
      <c r="F664" s="86"/>
      <c r="G664" s="140"/>
      <c r="H664" s="140"/>
      <c r="I664" s="140"/>
      <c r="J664" s="140"/>
      <c r="K664" s="140"/>
      <c r="L664" s="140"/>
      <c r="M664" s="140"/>
      <c r="N664" s="140"/>
      <c r="O664" s="140"/>
      <c r="P664" s="140"/>
      <c r="Q664" s="140"/>
      <c r="R664" s="140"/>
      <c r="S664" s="140"/>
      <c r="T664" s="140"/>
      <c r="U664" s="140"/>
      <c r="V664" s="140"/>
      <c r="W664" s="140"/>
      <c r="X664" s="140"/>
      <c r="Y664" s="140"/>
      <c r="Z664" s="140"/>
    </row>
    <row r="665" spans="1:26" ht="15.75" customHeight="1">
      <c r="A665" s="142"/>
      <c r="B665" s="141"/>
      <c r="C665" s="142"/>
      <c r="D665" s="142"/>
      <c r="E665" s="86"/>
      <c r="F665" s="86"/>
      <c r="G665" s="140"/>
      <c r="H665" s="140"/>
      <c r="I665" s="140"/>
      <c r="J665" s="140"/>
      <c r="K665" s="140"/>
      <c r="L665" s="140"/>
      <c r="M665" s="140"/>
      <c r="N665" s="140"/>
      <c r="O665" s="140"/>
      <c r="P665" s="140"/>
      <c r="Q665" s="140"/>
      <c r="R665" s="140"/>
      <c r="S665" s="140"/>
      <c r="T665" s="140"/>
      <c r="U665" s="140"/>
      <c r="V665" s="140"/>
      <c r="W665" s="140"/>
      <c r="X665" s="140"/>
      <c r="Y665" s="140"/>
      <c r="Z665" s="140"/>
    </row>
    <row r="666" spans="1:26" ht="15.75" customHeight="1">
      <c r="A666" s="142"/>
      <c r="B666" s="141"/>
      <c r="C666" s="142"/>
      <c r="D666" s="142"/>
      <c r="E666" s="86"/>
      <c r="F666" s="86"/>
      <c r="G666" s="140"/>
      <c r="H666" s="140"/>
      <c r="I666" s="140"/>
      <c r="J666" s="140"/>
      <c r="K666" s="140"/>
      <c r="L666" s="140"/>
      <c r="M666" s="140"/>
      <c r="N666" s="140"/>
      <c r="O666" s="140"/>
      <c r="P666" s="140"/>
      <c r="Q666" s="140"/>
      <c r="R666" s="140"/>
      <c r="S666" s="140"/>
      <c r="T666" s="140"/>
      <c r="U666" s="140"/>
      <c r="V666" s="140"/>
      <c r="W666" s="140"/>
      <c r="X666" s="140"/>
      <c r="Y666" s="140"/>
      <c r="Z666" s="140"/>
    </row>
    <row r="667" spans="1:26" ht="15.75" customHeight="1">
      <c r="A667" s="142"/>
      <c r="B667" s="141"/>
      <c r="C667" s="142"/>
      <c r="D667" s="142"/>
      <c r="E667" s="86"/>
      <c r="F667" s="86"/>
      <c r="G667" s="140"/>
      <c r="H667" s="140"/>
      <c r="I667" s="140"/>
      <c r="J667" s="140"/>
      <c r="K667" s="140"/>
      <c r="L667" s="140"/>
      <c r="M667" s="140"/>
      <c r="N667" s="140"/>
      <c r="O667" s="140"/>
      <c r="P667" s="140"/>
      <c r="Q667" s="140"/>
      <c r="R667" s="140"/>
      <c r="S667" s="140"/>
      <c r="T667" s="140"/>
      <c r="U667" s="140"/>
      <c r="V667" s="140"/>
      <c r="W667" s="140"/>
      <c r="X667" s="140"/>
      <c r="Y667" s="140"/>
      <c r="Z667" s="140"/>
    </row>
    <row r="668" spans="1:26" ht="15.75" customHeight="1">
      <c r="A668" s="142"/>
      <c r="B668" s="141"/>
      <c r="C668" s="142"/>
      <c r="D668" s="142"/>
      <c r="E668" s="86"/>
      <c r="F668" s="86"/>
      <c r="G668" s="140"/>
      <c r="H668" s="140"/>
      <c r="I668" s="140"/>
      <c r="J668" s="140"/>
      <c r="K668" s="140"/>
      <c r="L668" s="140"/>
      <c r="M668" s="140"/>
      <c r="N668" s="140"/>
      <c r="O668" s="140"/>
      <c r="P668" s="140"/>
      <c r="Q668" s="140"/>
      <c r="R668" s="140"/>
      <c r="S668" s="140"/>
      <c r="T668" s="140"/>
      <c r="U668" s="140"/>
      <c r="V668" s="140"/>
      <c r="W668" s="140"/>
      <c r="X668" s="140"/>
      <c r="Y668" s="140"/>
      <c r="Z668" s="140"/>
    </row>
    <row r="669" spans="1:26" ht="15.75" customHeight="1">
      <c r="A669" s="142"/>
      <c r="B669" s="141"/>
      <c r="C669" s="142"/>
      <c r="D669" s="142"/>
      <c r="E669" s="86"/>
      <c r="F669" s="86"/>
      <c r="G669" s="140"/>
      <c r="H669" s="140"/>
      <c r="I669" s="140"/>
      <c r="J669" s="140"/>
      <c r="K669" s="140"/>
      <c r="L669" s="140"/>
      <c r="M669" s="140"/>
      <c r="N669" s="140"/>
      <c r="O669" s="140"/>
      <c r="P669" s="140"/>
      <c r="Q669" s="140"/>
      <c r="R669" s="140"/>
      <c r="S669" s="140"/>
      <c r="T669" s="140"/>
      <c r="U669" s="140"/>
      <c r="V669" s="140"/>
      <c r="W669" s="140"/>
      <c r="X669" s="140"/>
      <c r="Y669" s="140"/>
      <c r="Z669" s="140"/>
    </row>
    <row r="670" spans="1:26" ht="15.75" customHeight="1">
      <c r="A670" s="142"/>
      <c r="B670" s="141"/>
      <c r="C670" s="142"/>
      <c r="D670" s="142"/>
      <c r="E670" s="86"/>
      <c r="F670" s="86"/>
      <c r="G670" s="140"/>
      <c r="H670" s="140"/>
      <c r="I670" s="140"/>
      <c r="J670" s="140"/>
      <c r="K670" s="140"/>
      <c r="L670" s="140"/>
      <c r="M670" s="140"/>
      <c r="N670" s="140"/>
      <c r="O670" s="140"/>
      <c r="P670" s="140"/>
      <c r="Q670" s="140"/>
      <c r="R670" s="140"/>
      <c r="S670" s="140"/>
      <c r="T670" s="140"/>
      <c r="U670" s="140"/>
      <c r="V670" s="140"/>
      <c r="W670" s="140"/>
      <c r="X670" s="140"/>
      <c r="Y670" s="140"/>
      <c r="Z670" s="140"/>
    </row>
    <row r="671" spans="1:26" ht="15.75" customHeight="1">
      <c r="A671" s="142"/>
      <c r="B671" s="141"/>
      <c r="C671" s="142"/>
      <c r="D671" s="142"/>
      <c r="E671" s="86"/>
      <c r="F671" s="86"/>
      <c r="G671" s="140"/>
      <c r="H671" s="140"/>
      <c r="I671" s="140"/>
      <c r="J671" s="140"/>
      <c r="K671" s="140"/>
      <c r="L671" s="140"/>
      <c r="M671" s="140"/>
      <c r="N671" s="140"/>
      <c r="O671" s="140"/>
      <c r="P671" s="140"/>
      <c r="Q671" s="140"/>
      <c r="R671" s="140"/>
      <c r="S671" s="140"/>
      <c r="T671" s="140"/>
      <c r="U671" s="140"/>
      <c r="V671" s="140"/>
      <c r="W671" s="140"/>
      <c r="X671" s="140"/>
      <c r="Y671" s="140"/>
      <c r="Z671" s="140"/>
    </row>
    <row r="672" spans="1:26" ht="15.75" customHeight="1">
      <c r="A672" s="142"/>
      <c r="B672" s="141"/>
      <c r="C672" s="142"/>
      <c r="D672" s="142"/>
      <c r="E672" s="86"/>
      <c r="F672" s="86"/>
      <c r="G672" s="140"/>
      <c r="H672" s="140"/>
      <c r="I672" s="140"/>
      <c r="J672" s="140"/>
      <c r="K672" s="140"/>
      <c r="L672" s="140"/>
      <c r="M672" s="140"/>
      <c r="N672" s="140"/>
      <c r="O672" s="140"/>
      <c r="P672" s="140"/>
      <c r="Q672" s="140"/>
      <c r="R672" s="140"/>
      <c r="S672" s="140"/>
      <c r="T672" s="140"/>
      <c r="U672" s="140"/>
      <c r="V672" s="140"/>
      <c r="W672" s="140"/>
      <c r="X672" s="140"/>
      <c r="Y672" s="140"/>
      <c r="Z672" s="140"/>
    </row>
    <row r="673" spans="1:26" ht="15.75" customHeight="1">
      <c r="A673" s="142"/>
      <c r="B673" s="141"/>
      <c r="C673" s="142"/>
      <c r="D673" s="142"/>
      <c r="E673" s="86"/>
      <c r="F673" s="86"/>
      <c r="G673" s="140"/>
      <c r="H673" s="140"/>
      <c r="I673" s="140"/>
      <c r="J673" s="140"/>
      <c r="K673" s="140"/>
      <c r="L673" s="140"/>
      <c r="M673" s="140"/>
      <c r="N673" s="140"/>
      <c r="O673" s="140"/>
      <c r="P673" s="140"/>
      <c r="Q673" s="140"/>
      <c r="R673" s="140"/>
      <c r="S673" s="140"/>
      <c r="T673" s="140"/>
      <c r="U673" s="140"/>
      <c r="V673" s="140"/>
      <c r="W673" s="140"/>
      <c r="X673" s="140"/>
      <c r="Y673" s="140"/>
      <c r="Z673" s="140"/>
    </row>
    <row r="674" spans="1:26" ht="15.75" customHeight="1">
      <c r="A674" s="142"/>
      <c r="B674" s="141"/>
      <c r="C674" s="142"/>
      <c r="D674" s="142"/>
      <c r="E674" s="86"/>
      <c r="F674" s="86"/>
      <c r="G674" s="140"/>
      <c r="H674" s="140"/>
      <c r="I674" s="140"/>
      <c r="J674" s="140"/>
      <c r="K674" s="140"/>
      <c r="L674" s="140"/>
      <c r="M674" s="140"/>
      <c r="N674" s="140"/>
      <c r="O674" s="140"/>
      <c r="P674" s="140"/>
      <c r="Q674" s="140"/>
      <c r="R674" s="140"/>
      <c r="S674" s="140"/>
      <c r="T674" s="140"/>
      <c r="U674" s="140"/>
      <c r="V674" s="140"/>
      <c r="W674" s="140"/>
      <c r="X674" s="140"/>
      <c r="Y674" s="140"/>
      <c r="Z674" s="140"/>
    </row>
    <row r="675" spans="1:26" ht="15.75" customHeight="1">
      <c r="A675" s="142"/>
      <c r="B675" s="141"/>
      <c r="C675" s="142"/>
      <c r="D675" s="142"/>
      <c r="E675" s="86"/>
      <c r="F675" s="86"/>
      <c r="G675" s="140"/>
      <c r="H675" s="140"/>
      <c r="I675" s="140"/>
      <c r="J675" s="140"/>
      <c r="K675" s="140"/>
      <c r="L675" s="140"/>
      <c r="M675" s="140"/>
      <c r="N675" s="140"/>
      <c r="O675" s="140"/>
      <c r="P675" s="140"/>
      <c r="Q675" s="140"/>
      <c r="R675" s="140"/>
      <c r="S675" s="140"/>
      <c r="T675" s="140"/>
      <c r="U675" s="140"/>
      <c r="V675" s="140"/>
      <c r="W675" s="140"/>
      <c r="X675" s="140"/>
      <c r="Y675" s="140"/>
      <c r="Z675" s="140"/>
    </row>
    <row r="676" spans="1:26" ht="15.75" customHeight="1">
      <c r="A676" s="142"/>
      <c r="B676" s="141"/>
      <c r="C676" s="142"/>
      <c r="D676" s="142"/>
      <c r="E676" s="86"/>
      <c r="F676" s="86"/>
      <c r="G676" s="140"/>
      <c r="H676" s="140"/>
      <c r="I676" s="140"/>
      <c r="J676" s="140"/>
      <c r="K676" s="140"/>
      <c r="L676" s="140"/>
      <c r="M676" s="140"/>
      <c r="N676" s="140"/>
      <c r="O676" s="140"/>
      <c r="P676" s="140"/>
      <c r="Q676" s="140"/>
      <c r="R676" s="140"/>
      <c r="S676" s="140"/>
      <c r="T676" s="140"/>
      <c r="U676" s="140"/>
      <c r="V676" s="140"/>
      <c r="W676" s="140"/>
      <c r="X676" s="140"/>
      <c r="Y676" s="140"/>
      <c r="Z676" s="140"/>
    </row>
    <row r="677" spans="1:26" ht="15.75" customHeight="1">
      <c r="A677" s="142"/>
      <c r="B677" s="141"/>
      <c r="C677" s="142"/>
      <c r="D677" s="142"/>
      <c r="E677" s="86"/>
      <c r="F677" s="86"/>
      <c r="G677" s="140"/>
      <c r="H677" s="140"/>
      <c r="I677" s="140"/>
      <c r="J677" s="140"/>
      <c r="K677" s="140"/>
      <c r="L677" s="140"/>
      <c r="M677" s="140"/>
      <c r="N677" s="140"/>
      <c r="O677" s="140"/>
      <c r="P677" s="140"/>
      <c r="Q677" s="140"/>
      <c r="R677" s="140"/>
      <c r="S677" s="140"/>
      <c r="T677" s="140"/>
      <c r="U677" s="140"/>
      <c r="V677" s="140"/>
      <c r="W677" s="140"/>
      <c r="X677" s="140"/>
      <c r="Y677" s="140"/>
      <c r="Z677" s="140"/>
    </row>
    <row r="678" spans="1:26" ht="15.75" customHeight="1">
      <c r="A678" s="142"/>
      <c r="B678" s="141"/>
      <c r="C678" s="142"/>
      <c r="D678" s="142"/>
      <c r="E678" s="86"/>
      <c r="F678" s="86"/>
      <c r="G678" s="140"/>
      <c r="H678" s="140"/>
      <c r="I678" s="140"/>
      <c r="J678" s="140"/>
      <c r="K678" s="140"/>
      <c r="L678" s="140"/>
      <c r="M678" s="140"/>
      <c r="N678" s="140"/>
      <c r="O678" s="140"/>
      <c r="P678" s="140"/>
      <c r="Q678" s="140"/>
      <c r="R678" s="140"/>
      <c r="S678" s="140"/>
      <c r="T678" s="140"/>
      <c r="U678" s="140"/>
      <c r="V678" s="140"/>
      <c r="W678" s="140"/>
      <c r="X678" s="140"/>
      <c r="Y678" s="140"/>
      <c r="Z678" s="140"/>
    </row>
    <row r="679" spans="1:26" ht="15.75" customHeight="1">
      <c r="A679" s="142"/>
      <c r="B679" s="141"/>
      <c r="C679" s="142"/>
      <c r="D679" s="142"/>
      <c r="E679" s="86"/>
      <c r="F679" s="86"/>
      <c r="G679" s="140"/>
      <c r="H679" s="140"/>
      <c r="I679" s="140"/>
      <c r="J679" s="140"/>
      <c r="K679" s="140"/>
      <c r="L679" s="140"/>
      <c r="M679" s="140"/>
      <c r="N679" s="140"/>
      <c r="O679" s="140"/>
      <c r="P679" s="140"/>
      <c r="Q679" s="140"/>
      <c r="R679" s="140"/>
      <c r="S679" s="140"/>
      <c r="T679" s="140"/>
      <c r="U679" s="140"/>
      <c r="V679" s="140"/>
      <c r="W679" s="140"/>
      <c r="X679" s="140"/>
      <c r="Y679" s="140"/>
      <c r="Z679" s="140"/>
    </row>
    <row r="680" spans="1:26" ht="15.75" customHeight="1">
      <c r="A680" s="142"/>
      <c r="B680" s="141"/>
      <c r="C680" s="142"/>
      <c r="D680" s="142"/>
      <c r="E680" s="86"/>
      <c r="F680" s="86"/>
      <c r="G680" s="140"/>
      <c r="H680" s="140"/>
      <c r="I680" s="140"/>
      <c r="J680" s="140"/>
      <c r="K680" s="140"/>
      <c r="L680" s="140"/>
      <c r="M680" s="140"/>
      <c r="N680" s="140"/>
      <c r="O680" s="140"/>
      <c r="P680" s="140"/>
      <c r="Q680" s="140"/>
      <c r="R680" s="140"/>
      <c r="S680" s="140"/>
      <c r="T680" s="140"/>
      <c r="U680" s="140"/>
      <c r="V680" s="140"/>
      <c r="W680" s="140"/>
      <c r="X680" s="140"/>
      <c r="Y680" s="140"/>
      <c r="Z680" s="140"/>
    </row>
    <row r="681" spans="1:26" ht="15.75" customHeight="1">
      <c r="A681" s="142"/>
      <c r="B681" s="141"/>
      <c r="C681" s="142"/>
      <c r="D681" s="142"/>
      <c r="E681" s="86"/>
      <c r="F681" s="86"/>
      <c r="G681" s="140"/>
      <c r="H681" s="140"/>
      <c r="I681" s="140"/>
      <c r="J681" s="140"/>
      <c r="K681" s="140"/>
      <c r="L681" s="140"/>
      <c r="M681" s="140"/>
      <c r="N681" s="140"/>
      <c r="O681" s="140"/>
      <c r="P681" s="140"/>
      <c r="Q681" s="140"/>
      <c r="R681" s="140"/>
      <c r="S681" s="140"/>
      <c r="T681" s="140"/>
      <c r="U681" s="140"/>
      <c r="V681" s="140"/>
      <c r="W681" s="140"/>
      <c r="X681" s="140"/>
      <c r="Y681" s="140"/>
      <c r="Z681" s="140"/>
    </row>
    <row r="682" spans="1:26" ht="15.75" customHeight="1">
      <c r="A682" s="142"/>
      <c r="B682" s="141"/>
      <c r="C682" s="142"/>
      <c r="D682" s="142"/>
      <c r="E682" s="86"/>
      <c r="F682" s="86"/>
      <c r="G682" s="140"/>
      <c r="H682" s="140"/>
      <c r="I682" s="140"/>
      <c r="J682" s="140"/>
      <c r="K682" s="140"/>
      <c r="L682" s="140"/>
      <c r="M682" s="140"/>
      <c r="N682" s="140"/>
      <c r="O682" s="140"/>
      <c r="P682" s="140"/>
      <c r="Q682" s="140"/>
      <c r="R682" s="140"/>
      <c r="S682" s="140"/>
      <c r="T682" s="140"/>
      <c r="U682" s="140"/>
      <c r="V682" s="140"/>
      <c r="W682" s="140"/>
      <c r="X682" s="140"/>
      <c r="Y682" s="140"/>
      <c r="Z682" s="140"/>
    </row>
    <row r="683" spans="1:26" ht="15.75" customHeight="1">
      <c r="A683" s="142"/>
      <c r="B683" s="141"/>
      <c r="C683" s="142"/>
      <c r="D683" s="142"/>
      <c r="E683" s="86"/>
      <c r="F683" s="86"/>
      <c r="G683" s="140"/>
      <c r="H683" s="140"/>
      <c r="I683" s="140"/>
      <c r="J683" s="140"/>
      <c r="K683" s="140"/>
      <c r="L683" s="140"/>
      <c r="M683" s="140"/>
      <c r="N683" s="140"/>
      <c r="O683" s="140"/>
      <c r="P683" s="140"/>
      <c r="Q683" s="140"/>
      <c r="R683" s="140"/>
      <c r="S683" s="140"/>
      <c r="T683" s="140"/>
      <c r="U683" s="140"/>
      <c r="V683" s="140"/>
      <c r="W683" s="140"/>
      <c r="X683" s="140"/>
      <c r="Y683" s="140"/>
      <c r="Z683" s="140"/>
    </row>
    <row r="684" spans="1:26" ht="15.75" customHeight="1">
      <c r="A684" s="142"/>
      <c r="B684" s="141"/>
      <c r="C684" s="142"/>
      <c r="D684" s="142"/>
      <c r="E684" s="86"/>
      <c r="F684" s="86"/>
      <c r="G684" s="140"/>
      <c r="H684" s="140"/>
      <c r="I684" s="140"/>
      <c r="J684" s="140"/>
      <c r="K684" s="140"/>
      <c r="L684" s="140"/>
      <c r="M684" s="140"/>
      <c r="N684" s="140"/>
      <c r="O684" s="140"/>
      <c r="P684" s="140"/>
      <c r="Q684" s="140"/>
      <c r="R684" s="140"/>
      <c r="S684" s="140"/>
      <c r="T684" s="140"/>
      <c r="U684" s="140"/>
      <c r="V684" s="140"/>
      <c r="W684" s="140"/>
      <c r="X684" s="140"/>
      <c r="Y684" s="140"/>
      <c r="Z684" s="140"/>
    </row>
    <row r="685" spans="1:26" ht="15.75" customHeight="1">
      <c r="A685" s="142"/>
      <c r="B685" s="141"/>
      <c r="C685" s="142"/>
      <c r="D685" s="142"/>
      <c r="E685" s="86"/>
      <c r="F685" s="86"/>
      <c r="G685" s="140"/>
      <c r="H685" s="140"/>
      <c r="I685" s="140"/>
      <c r="J685" s="140"/>
      <c r="K685" s="140"/>
      <c r="L685" s="140"/>
      <c r="M685" s="140"/>
      <c r="N685" s="140"/>
      <c r="O685" s="140"/>
      <c r="P685" s="140"/>
      <c r="Q685" s="140"/>
      <c r="R685" s="140"/>
      <c r="S685" s="140"/>
      <c r="T685" s="140"/>
      <c r="U685" s="140"/>
      <c r="V685" s="140"/>
      <c r="W685" s="140"/>
      <c r="X685" s="140"/>
      <c r="Y685" s="140"/>
      <c r="Z685" s="140"/>
    </row>
    <row r="686" spans="1:26" ht="15.75" customHeight="1">
      <c r="A686" s="142"/>
      <c r="B686" s="141"/>
      <c r="C686" s="142"/>
      <c r="D686" s="142"/>
      <c r="E686" s="86"/>
      <c r="F686" s="86"/>
      <c r="G686" s="140"/>
      <c r="H686" s="140"/>
      <c r="I686" s="140"/>
      <c r="J686" s="140"/>
      <c r="K686" s="140"/>
      <c r="L686" s="140"/>
      <c r="M686" s="140"/>
      <c r="N686" s="140"/>
      <c r="O686" s="140"/>
      <c r="P686" s="140"/>
      <c r="Q686" s="140"/>
      <c r="R686" s="140"/>
      <c r="S686" s="140"/>
      <c r="T686" s="140"/>
      <c r="U686" s="140"/>
      <c r="V686" s="140"/>
      <c r="W686" s="140"/>
      <c r="X686" s="140"/>
      <c r="Y686" s="140"/>
      <c r="Z686" s="140"/>
    </row>
    <row r="687" spans="1:26" ht="15.75" customHeight="1">
      <c r="A687" s="142"/>
      <c r="B687" s="141"/>
      <c r="C687" s="142"/>
      <c r="D687" s="142"/>
      <c r="E687" s="86"/>
      <c r="F687" s="86"/>
      <c r="G687" s="140"/>
      <c r="H687" s="140"/>
      <c r="I687" s="140"/>
      <c r="J687" s="140"/>
      <c r="K687" s="140"/>
      <c r="L687" s="140"/>
      <c r="M687" s="140"/>
      <c r="N687" s="140"/>
      <c r="O687" s="140"/>
      <c r="P687" s="140"/>
      <c r="Q687" s="140"/>
      <c r="R687" s="140"/>
      <c r="S687" s="140"/>
      <c r="T687" s="140"/>
      <c r="U687" s="140"/>
      <c r="V687" s="140"/>
      <c r="W687" s="140"/>
      <c r="X687" s="140"/>
      <c r="Y687" s="140"/>
      <c r="Z687" s="140"/>
    </row>
    <row r="688" spans="1:26" ht="15.75" customHeight="1">
      <c r="A688" s="142"/>
      <c r="B688" s="141"/>
      <c r="C688" s="142"/>
      <c r="D688" s="142"/>
      <c r="E688" s="86"/>
      <c r="F688" s="86"/>
      <c r="G688" s="140"/>
      <c r="H688" s="140"/>
      <c r="I688" s="140"/>
      <c r="J688" s="140"/>
      <c r="K688" s="140"/>
      <c r="L688" s="140"/>
      <c r="M688" s="140"/>
      <c r="N688" s="140"/>
      <c r="O688" s="140"/>
      <c r="P688" s="140"/>
      <c r="Q688" s="140"/>
      <c r="R688" s="140"/>
      <c r="S688" s="140"/>
      <c r="T688" s="140"/>
      <c r="U688" s="140"/>
      <c r="V688" s="140"/>
      <c r="W688" s="140"/>
      <c r="X688" s="140"/>
      <c r="Y688" s="140"/>
      <c r="Z688" s="140"/>
    </row>
    <row r="689" spans="1:26" ht="15.75" customHeight="1">
      <c r="A689" s="142"/>
      <c r="B689" s="141"/>
      <c r="C689" s="142"/>
      <c r="D689" s="142"/>
      <c r="E689" s="86"/>
      <c r="F689" s="86"/>
      <c r="G689" s="140"/>
      <c r="H689" s="140"/>
      <c r="I689" s="140"/>
      <c r="J689" s="140"/>
      <c r="K689" s="140"/>
      <c r="L689" s="140"/>
      <c r="M689" s="140"/>
      <c r="N689" s="140"/>
      <c r="O689" s="140"/>
      <c r="P689" s="140"/>
      <c r="Q689" s="140"/>
      <c r="R689" s="140"/>
      <c r="S689" s="140"/>
      <c r="T689" s="140"/>
      <c r="U689" s="140"/>
      <c r="V689" s="140"/>
      <c r="W689" s="140"/>
      <c r="X689" s="140"/>
      <c r="Y689" s="140"/>
      <c r="Z689" s="140"/>
    </row>
    <row r="690" spans="1:26" ht="15.75" customHeight="1">
      <c r="A690" s="142"/>
      <c r="B690" s="141"/>
      <c r="C690" s="142"/>
      <c r="D690" s="142"/>
      <c r="E690" s="86"/>
      <c r="F690" s="86"/>
      <c r="G690" s="140"/>
      <c r="H690" s="140"/>
      <c r="I690" s="140"/>
      <c r="J690" s="140"/>
      <c r="K690" s="140"/>
      <c r="L690" s="140"/>
      <c r="M690" s="140"/>
      <c r="N690" s="140"/>
      <c r="O690" s="140"/>
      <c r="P690" s="140"/>
      <c r="Q690" s="140"/>
      <c r="R690" s="140"/>
      <c r="S690" s="140"/>
      <c r="T690" s="140"/>
      <c r="U690" s="140"/>
      <c r="V690" s="140"/>
      <c r="W690" s="140"/>
      <c r="X690" s="140"/>
      <c r="Y690" s="140"/>
      <c r="Z690" s="140"/>
    </row>
    <row r="691" spans="1:26" ht="15.75" customHeight="1">
      <c r="A691" s="142"/>
      <c r="B691" s="141"/>
      <c r="C691" s="142"/>
      <c r="D691" s="142"/>
      <c r="E691" s="86"/>
      <c r="F691" s="86"/>
      <c r="G691" s="140"/>
      <c r="H691" s="140"/>
      <c r="I691" s="140"/>
      <c r="J691" s="140"/>
      <c r="K691" s="140"/>
      <c r="L691" s="140"/>
      <c r="M691" s="140"/>
      <c r="N691" s="140"/>
      <c r="O691" s="140"/>
      <c r="P691" s="140"/>
      <c r="Q691" s="140"/>
      <c r="R691" s="140"/>
      <c r="S691" s="140"/>
      <c r="T691" s="140"/>
      <c r="U691" s="140"/>
      <c r="V691" s="140"/>
      <c r="W691" s="140"/>
      <c r="X691" s="140"/>
      <c r="Y691" s="140"/>
      <c r="Z691" s="140"/>
    </row>
    <row r="692" spans="1:26" ht="15.75" customHeight="1">
      <c r="A692" s="142"/>
      <c r="B692" s="141"/>
      <c r="C692" s="142"/>
      <c r="D692" s="142"/>
      <c r="E692" s="86"/>
      <c r="F692" s="86"/>
      <c r="G692" s="140"/>
      <c r="H692" s="140"/>
      <c r="I692" s="140"/>
      <c r="J692" s="140"/>
      <c r="K692" s="140"/>
      <c r="L692" s="140"/>
      <c r="M692" s="140"/>
      <c r="N692" s="140"/>
      <c r="O692" s="140"/>
      <c r="P692" s="140"/>
      <c r="Q692" s="140"/>
      <c r="R692" s="140"/>
      <c r="S692" s="140"/>
      <c r="T692" s="140"/>
      <c r="U692" s="140"/>
      <c r="V692" s="140"/>
      <c r="W692" s="140"/>
      <c r="X692" s="140"/>
      <c r="Y692" s="140"/>
      <c r="Z692" s="140"/>
    </row>
    <row r="693" spans="1:26" ht="15.75" customHeight="1">
      <c r="A693" s="142"/>
      <c r="B693" s="141"/>
      <c r="C693" s="142"/>
      <c r="D693" s="142"/>
      <c r="E693" s="86"/>
      <c r="F693" s="86"/>
      <c r="G693" s="140"/>
      <c r="H693" s="140"/>
      <c r="I693" s="140"/>
      <c r="J693" s="140"/>
      <c r="K693" s="140"/>
      <c r="L693" s="140"/>
      <c r="M693" s="140"/>
      <c r="N693" s="140"/>
      <c r="O693" s="140"/>
      <c r="P693" s="140"/>
      <c r="Q693" s="140"/>
      <c r="R693" s="140"/>
      <c r="S693" s="140"/>
      <c r="T693" s="140"/>
      <c r="U693" s="140"/>
      <c r="V693" s="140"/>
      <c r="W693" s="140"/>
      <c r="X693" s="140"/>
      <c r="Y693" s="140"/>
      <c r="Z693" s="140"/>
    </row>
    <row r="694" spans="1:26" ht="15.75" customHeight="1">
      <c r="A694" s="142"/>
      <c r="B694" s="141"/>
      <c r="C694" s="142"/>
      <c r="D694" s="142"/>
      <c r="E694" s="86"/>
      <c r="F694" s="86"/>
      <c r="G694" s="140"/>
      <c r="H694" s="140"/>
      <c r="I694" s="140"/>
      <c r="J694" s="140"/>
      <c r="K694" s="140"/>
      <c r="L694" s="140"/>
      <c r="M694" s="140"/>
      <c r="N694" s="140"/>
      <c r="O694" s="140"/>
      <c r="P694" s="140"/>
      <c r="Q694" s="140"/>
      <c r="R694" s="140"/>
      <c r="S694" s="140"/>
      <c r="T694" s="140"/>
      <c r="U694" s="140"/>
      <c r="V694" s="140"/>
      <c r="W694" s="140"/>
      <c r="X694" s="140"/>
      <c r="Y694" s="140"/>
      <c r="Z694" s="140"/>
    </row>
    <row r="695" spans="1:26" ht="15.75" customHeight="1">
      <c r="A695" s="142"/>
      <c r="B695" s="141"/>
      <c r="C695" s="142"/>
      <c r="D695" s="142"/>
      <c r="E695" s="86"/>
      <c r="F695" s="86"/>
      <c r="G695" s="140"/>
      <c r="H695" s="140"/>
      <c r="I695" s="140"/>
      <c r="J695" s="140"/>
      <c r="K695" s="140"/>
      <c r="L695" s="140"/>
      <c r="M695" s="140"/>
      <c r="N695" s="140"/>
      <c r="O695" s="140"/>
      <c r="P695" s="140"/>
      <c r="Q695" s="140"/>
      <c r="R695" s="140"/>
      <c r="S695" s="140"/>
      <c r="T695" s="140"/>
      <c r="U695" s="140"/>
      <c r="V695" s="140"/>
      <c r="W695" s="140"/>
      <c r="X695" s="140"/>
      <c r="Y695" s="140"/>
      <c r="Z695" s="140"/>
    </row>
    <row r="696" spans="1:26" ht="15.75" customHeight="1">
      <c r="A696" s="142"/>
      <c r="B696" s="141"/>
      <c r="C696" s="142"/>
      <c r="D696" s="142"/>
      <c r="E696" s="86"/>
      <c r="F696" s="86"/>
      <c r="G696" s="140"/>
      <c r="H696" s="140"/>
      <c r="I696" s="140"/>
      <c r="J696" s="140"/>
      <c r="K696" s="140"/>
      <c r="L696" s="140"/>
      <c r="M696" s="140"/>
      <c r="N696" s="140"/>
      <c r="O696" s="140"/>
      <c r="P696" s="140"/>
      <c r="Q696" s="140"/>
      <c r="R696" s="140"/>
      <c r="S696" s="140"/>
      <c r="T696" s="140"/>
      <c r="U696" s="140"/>
      <c r="V696" s="140"/>
      <c r="W696" s="140"/>
      <c r="X696" s="140"/>
      <c r="Y696" s="140"/>
      <c r="Z696" s="140"/>
    </row>
    <row r="697" spans="1:26" ht="15.75" customHeight="1">
      <c r="A697" s="142"/>
      <c r="B697" s="141"/>
      <c r="C697" s="142"/>
      <c r="D697" s="142"/>
      <c r="E697" s="86"/>
      <c r="F697" s="86"/>
      <c r="G697" s="140"/>
      <c r="H697" s="140"/>
      <c r="I697" s="140"/>
      <c r="J697" s="140"/>
      <c r="K697" s="140"/>
      <c r="L697" s="140"/>
      <c r="M697" s="140"/>
      <c r="N697" s="140"/>
      <c r="O697" s="140"/>
      <c r="P697" s="140"/>
      <c r="Q697" s="140"/>
      <c r="R697" s="140"/>
      <c r="S697" s="140"/>
      <c r="T697" s="140"/>
      <c r="U697" s="140"/>
      <c r="V697" s="140"/>
      <c r="W697" s="140"/>
      <c r="X697" s="140"/>
      <c r="Y697" s="140"/>
      <c r="Z697" s="140"/>
    </row>
    <row r="698" spans="1:26" ht="15.75" customHeight="1">
      <c r="A698" s="142"/>
      <c r="B698" s="141"/>
      <c r="C698" s="142"/>
      <c r="D698" s="142"/>
      <c r="E698" s="86"/>
      <c r="F698" s="86"/>
      <c r="G698" s="140"/>
      <c r="H698" s="140"/>
      <c r="I698" s="140"/>
      <c r="J698" s="140"/>
      <c r="K698" s="140"/>
      <c r="L698" s="140"/>
      <c r="M698" s="140"/>
      <c r="N698" s="140"/>
      <c r="O698" s="140"/>
      <c r="P698" s="140"/>
      <c r="Q698" s="140"/>
      <c r="R698" s="140"/>
      <c r="S698" s="140"/>
      <c r="T698" s="140"/>
      <c r="U698" s="140"/>
      <c r="V698" s="140"/>
      <c r="W698" s="140"/>
      <c r="X698" s="140"/>
      <c r="Y698" s="140"/>
      <c r="Z698" s="140"/>
    </row>
    <row r="699" spans="1:26" ht="15.75" customHeight="1">
      <c r="A699" s="142"/>
      <c r="B699" s="141"/>
      <c r="C699" s="142"/>
      <c r="D699" s="142"/>
      <c r="E699" s="86"/>
      <c r="F699" s="86"/>
      <c r="G699" s="140"/>
      <c r="H699" s="140"/>
      <c r="I699" s="140"/>
      <c r="J699" s="140"/>
      <c r="K699" s="140"/>
      <c r="L699" s="140"/>
      <c r="M699" s="140"/>
      <c r="N699" s="140"/>
      <c r="O699" s="140"/>
      <c r="P699" s="140"/>
      <c r="Q699" s="140"/>
      <c r="R699" s="140"/>
      <c r="S699" s="140"/>
      <c r="T699" s="140"/>
      <c r="U699" s="140"/>
      <c r="V699" s="140"/>
      <c r="W699" s="140"/>
      <c r="X699" s="140"/>
      <c r="Y699" s="140"/>
      <c r="Z699" s="140"/>
    </row>
    <row r="700" spans="1:26" ht="15.75" customHeight="1">
      <c r="A700" s="142"/>
      <c r="B700" s="141"/>
      <c r="C700" s="142"/>
      <c r="D700" s="142"/>
      <c r="E700" s="86"/>
      <c r="F700" s="86"/>
      <c r="G700" s="140"/>
      <c r="H700" s="140"/>
      <c r="I700" s="140"/>
      <c r="J700" s="140"/>
      <c r="K700" s="140"/>
      <c r="L700" s="140"/>
      <c r="M700" s="140"/>
      <c r="N700" s="140"/>
      <c r="O700" s="140"/>
      <c r="P700" s="140"/>
      <c r="Q700" s="140"/>
      <c r="R700" s="140"/>
      <c r="S700" s="140"/>
      <c r="T700" s="140"/>
      <c r="U700" s="140"/>
      <c r="V700" s="140"/>
      <c r="W700" s="140"/>
      <c r="X700" s="140"/>
      <c r="Y700" s="140"/>
      <c r="Z700" s="140"/>
    </row>
    <row r="701" spans="1:26" ht="15.75" customHeight="1">
      <c r="A701" s="142"/>
      <c r="B701" s="141"/>
      <c r="C701" s="142"/>
      <c r="D701" s="142"/>
      <c r="E701" s="86"/>
      <c r="F701" s="86"/>
      <c r="G701" s="140"/>
      <c r="H701" s="140"/>
      <c r="I701" s="140"/>
      <c r="J701" s="140"/>
      <c r="K701" s="140"/>
      <c r="L701" s="140"/>
      <c r="M701" s="140"/>
      <c r="N701" s="140"/>
      <c r="O701" s="140"/>
      <c r="P701" s="140"/>
      <c r="Q701" s="140"/>
      <c r="R701" s="140"/>
      <c r="S701" s="140"/>
      <c r="T701" s="140"/>
      <c r="U701" s="140"/>
      <c r="V701" s="140"/>
      <c r="W701" s="140"/>
      <c r="X701" s="140"/>
      <c r="Y701" s="140"/>
      <c r="Z701" s="140"/>
    </row>
    <row r="702" spans="1:26" ht="15.75" customHeight="1">
      <c r="A702" s="142"/>
      <c r="B702" s="141"/>
      <c r="C702" s="142"/>
      <c r="D702" s="142"/>
      <c r="E702" s="86"/>
      <c r="F702" s="86"/>
      <c r="G702" s="140"/>
      <c r="H702" s="140"/>
      <c r="I702" s="140"/>
      <c r="J702" s="140"/>
      <c r="K702" s="140"/>
      <c r="L702" s="140"/>
      <c r="M702" s="140"/>
      <c r="N702" s="140"/>
      <c r="O702" s="140"/>
      <c r="P702" s="140"/>
      <c r="Q702" s="140"/>
      <c r="R702" s="140"/>
      <c r="S702" s="140"/>
      <c r="T702" s="140"/>
      <c r="U702" s="140"/>
      <c r="V702" s="140"/>
      <c r="W702" s="140"/>
      <c r="X702" s="140"/>
      <c r="Y702" s="140"/>
      <c r="Z702" s="140"/>
    </row>
    <row r="703" spans="1:26" ht="15.75" customHeight="1">
      <c r="A703" s="142"/>
      <c r="B703" s="141"/>
      <c r="C703" s="142"/>
      <c r="D703" s="142"/>
      <c r="E703" s="86"/>
      <c r="F703" s="86"/>
      <c r="G703" s="140"/>
      <c r="H703" s="140"/>
      <c r="I703" s="140"/>
      <c r="J703" s="140"/>
      <c r="K703" s="140"/>
      <c r="L703" s="140"/>
      <c r="M703" s="140"/>
      <c r="N703" s="140"/>
      <c r="O703" s="140"/>
      <c r="P703" s="140"/>
      <c r="Q703" s="140"/>
      <c r="R703" s="140"/>
      <c r="S703" s="140"/>
      <c r="T703" s="140"/>
      <c r="U703" s="140"/>
      <c r="V703" s="140"/>
      <c r="W703" s="140"/>
      <c r="X703" s="140"/>
      <c r="Y703" s="140"/>
      <c r="Z703" s="140"/>
    </row>
    <row r="704" spans="1:26" ht="15.75" customHeight="1">
      <c r="A704" s="142"/>
      <c r="B704" s="141"/>
      <c r="C704" s="142"/>
      <c r="D704" s="142"/>
      <c r="E704" s="86"/>
      <c r="F704" s="86"/>
      <c r="G704" s="140"/>
      <c r="H704" s="140"/>
      <c r="I704" s="140"/>
      <c r="J704" s="140"/>
      <c r="K704" s="140"/>
      <c r="L704" s="140"/>
      <c r="M704" s="140"/>
      <c r="N704" s="140"/>
      <c r="O704" s="140"/>
      <c r="P704" s="140"/>
      <c r="Q704" s="140"/>
      <c r="R704" s="140"/>
      <c r="S704" s="140"/>
      <c r="T704" s="140"/>
      <c r="U704" s="140"/>
      <c r="V704" s="140"/>
      <c r="W704" s="140"/>
      <c r="X704" s="140"/>
      <c r="Y704" s="140"/>
      <c r="Z704" s="140"/>
    </row>
    <row r="705" spans="1:26" ht="15.75" customHeight="1">
      <c r="A705" s="142"/>
      <c r="B705" s="141"/>
      <c r="C705" s="142"/>
      <c r="D705" s="142"/>
      <c r="E705" s="86"/>
      <c r="F705" s="86"/>
      <c r="G705" s="140"/>
      <c r="H705" s="140"/>
      <c r="I705" s="140"/>
      <c r="J705" s="140"/>
      <c r="K705" s="140"/>
      <c r="L705" s="140"/>
      <c r="M705" s="140"/>
      <c r="N705" s="140"/>
      <c r="O705" s="140"/>
      <c r="P705" s="140"/>
      <c r="Q705" s="140"/>
      <c r="R705" s="140"/>
      <c r="S705" s="140"/>
      <c r="T705" s="140"/>
      <c r="U705" s="140"/>
      <c r="V705" s="140"/>
      <c r="W705" s="140"/>
      <c r="X705" s="140"/>
      <c r="Y705" s="140"/>
      <c r="Z705" s="140"/>
    </row>
    <row r="706" spans="1:26" ht="15.75" customHeight="1">
      <c r="A706" s="142"/>
      <c r="B706" s="141"/>
      <c r="C706" s="142"/>
      <c r="D706" s="142"/>
      <c r="E706" s="86"/>
      <c r="F706" s="86"/>
      <c r="G706" s="140"/>
      <c r="H706" s="140"/>
      <c r="I706" s="140"/>
      <c r="J706" s="140"/>
      <c r="K706" s="140"/>
      <c r="L706" s="140"/>
      <c r="M706" s="140"/>
      <c r="N706" s="140"/>
      <c r="O706" s="140"/>
      <c r="P706" s="140"/>
      <c r="Q706" s="140"/>
      <c r="R706" s="140"/>
      <c r="S706" s="140"/>
      <c r="T706" s="140"/>
      <c r="U706" s="140"/>
      <c r="V706" s="140"/>
      <c r="W706" s="140"/>
      <c r="X706" s="140"/>
      <c r="Y706" s="140"/>
      <c r="Z706" s="140"/>
    </row>
    <row r="707" spans="1:26" ht="15.75" customHeight="1">
      <c r="A707" s="142"/>
      <c r="B707" s="141"/>
      <c r="C707" s="142"/>
      <c r="D707" s="142"/>
      <c r="E707" s="86"/>
      <c r="F707" s="86"/>
      <c r="G707" s="140"/>
      <c r="H707" s="140"/>
      <c r="I707" s="140"/>
      <c r="J707" s="140"/>
      <c r="K707" s="140"/>
      <c r="L707" s="140"/>
      <c r="M707" s="140"/>
      <c r="N707" s="140"/>
      <c r="O707" s="140"/>
      <c r="P707" s="140"/>
      <c r="Q707" s="140"/>
      <c r="R707" s="140"/>
      <c r="S707" s="140"/>
      <c r="T707" s="140"/>
      <c r="U707" s="140"/>
      <c r="V707" s="140"/>
      <c r="W707" s="140"/>
      <c r="X707" s="140"/>
      <c r="Y707" s="140"/>
      <c r="Z707" s="140"/>
    </row>
    <row r="708" spans="1:26" ht="15.75" customHeight="1">
      <c r="A708" s="142"/>
      <c r="B708" s="141"/>
      <c r="C708" s="142"/>
      <c r="D708" s="142"/>
      <c r="E708" s="86"/>
      <c r="F708" s="86"/>
      <c r="G708" s="140"/>
      <c r="H708" s="140"/>
      <c r="I708" s="140"/>
      <c r="J708" s="140"/>
      <c r="K708" s="140"/>
      <c r="L708" s="140"/>
      <c r="M708" s="140"/>
      <c r="N708" s="140"/>
      <c r="O708" s="140"/>
      <c r="P708" s="140"/>
      <c r="Q708" s="140"/>
      <c r="R708" s="140"/>
      <c r="S708" s="140"/>
      <c r="T708" s="140"/>
      <c r="U708" s="140"/>
      <c r="V708" s="140"/>
      <c r="W708" s="140"/>
      <c r="X708" s="140"/>
      <c r="Y708" s="140"/>
      <c r="Z708" s="140"/>
    </row>
    <row r="709" spans="1:26" ht="15.75" customHeight="1">
      <c r="A709" s="142"/>
      <c r="B709" s="141"/>
      <c r="C709" s="142"/>
      <c r="D709" s="142"/>
      <c r="E709" s="86"/>
      <c r="F709" s="86"/>
      <c r="G709" s="140"/>
      <c r="H709" s="140"/>
      <c r="I709" s="140"/>
      <c r="J709" s="140"/>
      <c r="K709" s="140"/>
      <c r="L709" s="140"/>
      <c r="M709" s="140"/>
      <c r="N709" s="140"/>
      <c r="O709" s="140"/>
      <c r="P709" s="140"/>
      <c r="Q709" s="140"/>
      <c r="R709" s="140"/>
      <c r="S709" s="140"/>
      <c r="T709" s="140"/>
      <c r="U709" s="140"/>
      <c r="V709" s="140"/>
      <c r="W709" s="140"/>
      <c r="X709" s="140"/>
      <c r="Y709" s="140"/>
      <c r="Z709" s="140"/>
    </row>
    <row r="710" spans="1:26" ht="15.75" customHeight="1">
      <c r="A710" s="142"/>
      <c r="B710" s="141"/>
      <c r="C710" s="142"/>
      <c r="D710" s="142"/>
      <c r="E710" s="86"/>
      <c r="F710" s="86"/>
      <c r="G710" s="140"/>
      <c r="H710" s="140"/>
      <c r="I710" s="140"/>
      <c r="J710" s="140"/>
      <c r="K710" s="140"/>
      <c r="L710" s="140"/>
      <c r="M710" s="140"/>
      <c r="N710" s="140"/>
      <c r="O710" s="140"/>
      <c r="P710" s="140"/>
      <c r="Q710" s="140"/>
      <c r="R710" s="140"/>
      <c r="S710" s="140"/>
      <c r="T710" s="140"/>
      <c r="U710" s="140"/>
      <c r="V710" s="140"/>
      <c r="W710" s="140"/>
      <c r="X710" s="140"/>
      <c r="Y710" s="140"/>
      <c r="Z710" s="140"/>
    </row>
    <row r="711" spans="1:26" ht="15.75" customHeight="1">
      <c r="A711" s="142"/>
      <c r="B711" s="141"/>
      <c r="C711" s="142"/>
      <c r="D711" s="142"/>
      <c r="E711" s="86"/>
      <c r="F711" s="86"/>
      <c r="G711" s="140"/>
      <c r="H711" s="140"/>
      <c r="I711" s="140"/>
      <c r="J711" s="140"/>
      <c r="K711" s="140"/>
      <c r="L711" s="140"/>
      <c r="M711" s="140"/>
      <c r="N711" s="140"/>
      <c r="O711" s="140"/>
      <c r="P711" s="140"/>
      <c r="Q711" s="140"/>
      <c r="R711" s="140"/>
      <c r="S711" s="140"/>
      <c r="T711" s="140"/>
      <c r="U711" s="140"/>
      <c r="V711" s="140"/>
      <c r="W711" s="140"/>
      <c r="X711" s="140"/>
      <c r="Y711" s="140"/>
      <c r="Z711" s="140"/>
    </row>
    <row r="712" spans="1:26" ht="15.75" customHeight="1">
      <c r="A712" s="142"/>
      <c r="B712" s="141"/>
      <c r="C712" s="142"/>
      <c r="D712" s="142"/>
      <c r="E712" s="86"/>
      <c r="F712" s="86"/>
      <c r="G712" s="140"/>
      <c r="H712" s="140"/>
      <c r="I712" s="140"/>
      <c r="J712" s="140"/>
      <c r="K712" s="140"/>
      <c r="L712" s="140"/>
      <c r="M712" s="140"/>
      <c r="N712" s="140"/>
      <c r="O712" s="140"/>
      <c r="P712" s="140"/>
      <c r="Q712" s="140"/>
      <c r="R712" s="140"/>
      <c r="S712" s="140"/>
      <c r="T712" s="140"/>
      <c r="U712" s="140"/>
      <c r="V712" s="140"/>
      <c r="W712" s="140"/>
      <c r="X712" s="140"/>
      <c r="Y712" s="140"/>
      <c r="Z712" s="140"/>
    </row>
    <row r="713" spans="1:26" ht="15.75" customHeight="1">
      <c r="A713" s="142"/>
      <c r="B713" s="141"/>
      <c r="C713" s="142"/>
      <c r="D713" s="142"/>
      <c r="E713" s="86"/>
      <c r="F713" s="86"/>
      <c r="G713" s="140"/>
      <c r="H713" s="140"/>
      <c r="I713" s="140"/>
      <c r="J713" s="140"/>
      <c r="K713" s="140"/>
      <c r="L713" s="140"/>
      <c r="M713" s="140"/>
      <c r="N713" s="140"/>
      <c r="O713" s="140"/>
      <c r="P713" s="140"/>
      <c r="Q713" s="140"/>
      <c r="R713" s="140"/>
      <c r="S713" s="140"/>
      <c r="T713" s="140"/>
      <c r="U713" s="140"/>
      <c r="V713" s="140"/>
      <c r="W713" s="140"/>
      <c r="X713" s="140"/>
      <c r="Y713" s="140"/>
      <c r="Z713" s="140"/>
    </row>
    <row r="714" spans="1:26" ht="15.75" customHeight="1">
      <c r="A714" s="142"/>
      <c r="B714" s="141"/>
      <c r="C714" s="142"/>
      <c r="D714" s="142"/>
      <c r="E714" s="86"/>
      <c r="F714" s="86"/>
      <c r="G714" s="140"/>
      <c r="H714" s="140"/>
      <c r="I714" s="140"/>
      <c r="J714" s="140"/>
      <c r="K714" s="140"/>
      <c r="L714" s="140"/>
      <c r="M714" s="140"/>
      <c r="N714" s="140"/>
      <c r="O714" s="140"/>
      <c r="P714" s="140"/>
      <c r="Q714" s="140"/>
      <c r="R714" s="140"/>
      <c r="S714" s="140"/>
      <c r="T714" s="140"/>
      <c r="U714" s="140"/>
      <c r="V714" s="140"/>
      <c r="W714" s="140"/>
      <c r="X714" s="140"/>
      <c r="Y714" s="140"/>
      <c r="Z714" s="140"/>
    </row>
    <row r="715" spans="1:26" ht="15.75" customHeight="1">
      <c r="A715" s="142"/>
      <c r="B715" s="141"/>
      <c r="C715" s="142"/>
      <c r="D715" s="142"/>
      <c r="E715" s="86"/>
      <c r="F715" s="86"/>
      <c r="G715" s="140"/>
      <c r="H715" s="140"/>
      <c r="I715" s="140"/>
      <c r="J715" s="140"/>
      <c r="K715" s="140"/>
      <c r="L715" s="140"/>
      <c r="M715" s="140"/>
      <c r="N715" s="140"/>
      <c r="O715" s="140"/>
      <c r="P715" s="140"/>
      <c r="Q715" s="140"/>
      <c r="R715" s="140"/>
      <c r="S715" s="140"/>
      <c r="T715" s="140"/>
      <c r="U715" s="140"/>
      <c r="V715" s="140"/>
      <c r="W715" s="140"/>
      <c r="X715" s="140"/>
      <c r="Y715" s="140"/>
      <c r="Z715" s="140"/>
    </row>
    <row r="716" spans="1:26" ht="15.75" customHeight="1">
      <c r="A716" s="142"/>
      <c r="B716" s="141"/>
      <c r="C716" s="142"/>
      <c r="D716" s="142"/>
      <c r="E716" s="86"/>
      <c r="F716" s="86"/>
      <c r="G716" s="140"/>
      <c r="H716" s="140"/>
      <c r="I716" s="140"/>
      <c r="J716" s="140"/>
      <c r="K716" s="140"/>
      <c r="L716" s="140"/>
      <c r="M716" s="140"/>
      <c r="N716" s="140"/>
      <c r="O716" s="140"/>
      <c r="P716" s="140"/>
      <c r="Q716" s="140"/>
      <c r="R716" s="140"/>
      <c r="S716" s="140"/>
      <c r="T716" s="140"/>
      <c r="U716" s="140"/>
      <c r="V716" s="140"/>
      <c r="W716" s="140"/>
      <c r="X716" s="140"/>
      <c r="Y716" s="140"/>
      <c r="Z716" s="140"/>
    </row>
    <row r="717" spans="1:26" ht="15.75" customHeight="1">
      <c r="A717" s="142"/>
      <c r="B717" s="141"/>
      <c r="C717" s="142"/>
      <c r="D717" s="142"/>
      <c r="E717" s="86"/>
      <c r="F717" s="86"/>
      <c r="G717" s="140"/>
      <c r="H717" s="140"/>
      <c r="I717" s="140"/>
      <c r="J717" s="140"/>
      <c r="K717" s="140"/>
      <c r="L717" s="140"/>
      <c r="M717" s="140"/>
      <c r="N717" s="140"/>
      <c r="O717" s="140"/>
      <c r="P717" s="140"/>
      <c r="Q717" s="140"/>
      <c r="R717" s="140"/>
      <c r="S717" s="140"/>
      <c r="T717" s="140"/>
      <c r="U717" s="140"/>
      <c r="V717" s="140"/>
      <c r="W717" s="140"/>
      <c r="X717" s="140"/>
      <c r="Y717" s="140"/>
      <c r="Z717" s="140"/>
    </row>
    <row r="718" spans="1:26" ht="15.75" customHeight="1">
      <c r="A718" s="142"/>
      <c r="B718" s="141"/>
      <c r="C718" s="142"/>
      <c r="D718" s="142"/>
      <c r="E718" s="86"/>
      <c r="F718" s="86"/>
      <c r="G718" s="140"/>
      <c r="H718" s="140"/>
      <c r="I718" s="140"/>
      <c r="J718" s="140"/>
      <c r="K718" s="140"/>
      <c r="L718" s="140"/>
      <c r="M718" s="140"/>
      <c r="N718" s="140"/>
      <c r="O718" s="140"/>
      <c r="P718" s="140"/>
      <c r="Q718" s="140"/>
      <c r="R718" s="140"/>
      <c r="S718" s="140"/>
      <c r="T718" s="140"/>
      <c r="U718" s="140"/>
      <c r="V718" s="140"/>
      <c r="W718" s="140"/>
      <c r="X718" s="140"/>
      <c r="Y718" s="140"/>
      <c r="Z718" s="140"/>
    </row>
    <row r="719" spans="1:26" ht="15.75" customHeight="1">
      <c r="A719" s="142"/>
      <c r="B719" s="141"/>
      <c r="C719" s="142"/>
      <c r="D719" s="142"/>
      <c r="E719" s="86"/>
      <c r="F719" s="86"/>
      <c r="G719" s="140"/>
      <c r="H719" s="140"/>
      <c r="I719" s="140"/>
      <c r="J719" s="140"/>
      <c r="K719" s="140"/>
      <c r="L719" s="140"/>
      <c r="M719" s="140"/>
      <c r="N719" s="140"/>
      <c r="O719" s="140"/>
      <c r="P719" s="140"/>
      <c r="Q719" s="140"/>
      <c r="R719" s="140"/>
      <c r="S719" s="140"/>
      <c r="T719" s="140"/>
      <c r="U719" s="140"/>
      <c r="V719" s="140"/>
      <c r="W719" s="140"/>
      <c r="X719" s="140"/>
      <c r="Y719" s="140"/>
      <c r="Z719" s="140"/>
    </row>
    <row r="720" spans="1:26" ht="15.75" customHeight="1">
      <c r="A720" s="142"/>
      <c r="B720" s="141"/>
      <c r="C720" s="142"/>
      <c r="D720" s="142"/>
      <c r="E720" s="86"/>
      <c r="F720" s="86"/>
      <c r="G720" s="140"/>
      <c r="H720" s="140"/>
      <c r="I720" s="140"/>
      <c r="J720" s="140"/>
      <c r="K720" s="140"/>
      <c r="L720" s="140"/>
      <c r="M720" s="140"/>
      <c r="N720" s="140"/>
      <c r="O720" s="140"/>
      <c r="P720" s="140"/>
      <c r="Q720" s="140"/>
      <c r="R720" s="140"/>
      <c r="S720" s="140"/>
      <c r="T720" s="140"/>
      <c r="U720" s="140"/>
      <c r="V720" s="140"/>
      <c r="W720" s="140"/>
      <c r="X720" s="140"/>
      <c r="Y720" s="140"/>
      <c r="Z720" s="140"/>
    </row>
    <row r="721" spans="1:26" ht="15.75" customHeight="1">
      <c r="A721" s="142"/>
      <c r="B721" s="141"/>
      <c r="C721" s="142"/>
      <c r="D721" s="142"/>
      <c r="E721" s="86"/>
      <c r="F721" s="86"/>
      <c r="G721" s="140"/>
      <c r="H721" s="140"/>
      <c r="I721" s="140"/>
      <c r="J721" s="140"/>
      <c r="K721" s="140"/>
      <c r="L721" s="140"/>
      <c r="M721" s="140"/>
      <c r="N721" s="140"/>
      <c r="O721" s="140"/>
      <c r="P721" s="140"/>
      <c r="Q721" s="140"/>
      <c r="R721" s="140"/>
      <c r="S721" s="140"/>
      <c r="T721" s="140"/>
      <c r="U721" s="140"/>
      <c r="V721" s="140"/>
      <c r="W721" s="140"/>
      <c r="X721" s="140"/>
      <c r="Y721" s="140"/>
      <c r="Z721" s="140"/>
    </row>
    <row r="722" spans="1:26" ht="15.75" customHeight="1">
      <c r="A722" s="142"/>
      <c r="B722" s="141"/>
      <c r="C722" s="142"/>
      <c r="D722" s="142"/>
      <c r="E722" s="86"/>
      <c r="F722" s="86"/>
      <c r="G722" s="140"/>
      <c r="H722" s="140"/>
      <c r="I722" s="140"/>
      <c r="J722" s="140"/>
      <c r="K722" s="140"/>
      <c r="L722" s="140"/>
      <c r="M722" s="140"/>
      <c r="N722" s="140"/>
      <c r="O722" s="140"/>
      <c r="P722" s="140"/>
      <c r="Q722" s="140"/>
      <c r="R722" s="140"/>
      <c r="S722" s="140"/>
      <c r="T722" s="140"/>
      <c r="U722" s="140"/>
      <c r="V722" s="140"/>
      <c r="W722" s="140"/>
      <c r="X722" s="140"/>
      <c r="Y722" s="140"/>
      <c r="Z722" s="140"/>
    </row>
    <row r="723" spans="1:26" ht="15.75" customHeight="1">
      <c r="A723" s="142"/>
      <c r="B723" s="141"/>
      <c r="C723" s="142"/>
      <c r="D723" s="142"/>
      <c r="E723" s="86"/>
      <c r="F723" s="86"/>
      <c r="G723" s="140"/>
      <c r="H723" s="140"/>
      <c r="I723" s="140"/>
      <c r="J723" s="140"/>
      <c r="K723" s="140"/>
      <c r="L723" s="140"/>
      <c r="M723" s="140"/>
      <c r="N723" s="140"/>
      <c r="O723" s="140"/>
      <c r="P723" s="140"/>
      <c r="Q723" s="140"/>
      <c r="R723" s="140"/>
      <c r="S723" s="140"/>
      <c r="T723" s="140"/>
      <c r="U723" s="140"/>
      <c r="V723" s="140"/>
      <c r="W723" s="140"/>
      <c r="X723" s="140"/>
      <c r="Y723" s="140"/>
      <c r="Z723" s="140"/>
    </row>
    <row r="724" spans="1:26" ht="15.75" customHeight="1">
      <c r="A724" s="142"/>
      <c r="B724" s="141"/>
      <c r="C724" s="142"/>
      <c r="D724" s="142"/>
      <c r="E724" s="86"/>
      <c r="F724" s="86"/>
      <c r="G724" s="140"/>
      <c r="H724" s="140"/>
      <c r="I724" s="140"/>
      <c r="J724" s="140"/>
      <c r="K724" s="140"/>
      <c r="L724" s="140"/>
      <c r="M724" s="140"/>
      <c r="N724" s="140"/>
      <c r="O724" s="140"/>
      <c r="P724" s="140"/>
      <c r="Q724" s="140"/>
      <c r="R724" s="140"/>
      <c r="S724" s="140"/>
      <c r="T724" s="140"/>
      <c r="U724" s="140"/>
      <c r="V724" s="140"/>
      <c r="W724" s="140"/>
      <c r="X724" s="140"/>
      <c r="Y724" s="140"/>
      <c r="Z724" s="140"/>
    </row>
    <row r="725" spans="1:26" ht="15.75" customHeight="1">
      <c r="A725" s="142"/>
      <c r="B725" s="141"/>
      <c r="C725" s="142"/>
      <c r="D725" s="142"/>
      <c r="E725" s="86"/>
      <c r="F725" s="86"/>
      <c r="G725" s="140"/>
      <c r="H725" s="140"/>
      <c r="I725" s="140"/>
      <c r="J725" s="140"/>
      <c r="K725" s="140"/>
      <c r="L725" s="140"/>
      <c r="M725" s="140"/>
      <c r="N725" s="140"/>
      <c r="O725" s="140"/>
      <c r="P725" s="140"/>
      <c r="Q725" s="140"/>
      <c r="R725" s="140"/>
      <c r="S725" s="140"/>
      <c r="T725" s="140"/>
      <c r="U725" s="140"/>
      <c r="V725" s="140"/>
      <c r="W725" s="140"/>
      <c r="X725" s="140"/>
      <c r="Y725" s="140"/>
      <c r="Z725" s="140"/>
    </row>
    <row r="726" spans="1:26" ht="15.75" customHeight="1">
      <c r="A726" s="142"/>
      <c r="B726" s="141"/>
      <c r="C726" s="142"/>
      <c r="D726" s="142"/>
      <c r="E726" s="86"/>
      <c r="F726" s="86"/>
      <c r="G726" s="140"/>
      <c r="H726" s="140"/>
      <c r="I726" s="140"/>
      <c r="J726" s="140"/>
      <c r="K726" s="140"/>
      <c r="L726" s="140"/>
      <c r="M726" s="140"/>
      <c r="N726" s="140"/>
      <c r="O726" s="140"/>
      <c r="P726" s="140"/>
      <c r="Q726" s="140"/>
      <c r="R726" s="140"/>
      <c r="S726" s="140"/>
      <c r="T726" s="140"/>
      <c r="U726" s="140"/>
      <c r="V726" s="140"/>
      <c r="W726" s="140"/>
      <c r="X726" s="140"/>
      <c r="Y726" s="140"/>
      <c r="Z726" s="140"/>
    </row>
    <row r="727" spans="1:26" ht="15.75" customHeight="1">
      <c r="A727" s="142"/>
      <c r="B727" s="141"/>
      <c r="C727" s="142"/>
      <c r="D727" s="142"/>
      <c r="E727" s="86"/>
      <c r="F727" s="86"/>
      <c r="G727" s="140"/>
      <c r="H727" s="140"/>
      <c r="I727" s="140"/>
      <c r="J727" s="140"/>
      <c r="K727" s="140"/>
      <c r="L727" s="140"/>
      <c r="M727" s="140"/>
      <c r="N727" s="140"/>
      <c r="O727" s="140"/>
      <c r="P727" s="140"/>
      <c r="Q727" s="140"/>
      <c r="R727" s="140"/>
      <c r="S727" s="140"/>
      <c r="T727" s="140"/>
      <c r="U727" s="140"/>
      <c r="V727" s="140"/>
      <c r="W727" s="140"/>
      <c r="X727" s="140"/>
      <c r="Y727" s="140"/>
      <c r="Z727" s="140"/>
    </row>
    <row r="728" spans="1:26" ht="15.75" customHeight="1">
      <c r="A728" s="142"/>
      <c r="B728" s="141"/>
      <c r="C728" s="142"/>
      <c r="D728" s="142"/>
      <c r="E728" s="86"/>
      <c r="F728" s="86"/>
      <c r="G728" s="140"/>
      <c r="H728" s="140"/>
      <c r="I728" s="140"/>
      <c r="J728" s="140"/>
      <c r="K728" s="140"/>
      <c r="L728" s="140"/>
      <c r="M728" s="140"/>
      <c r="N728" s="140"/>
      <c r="O728" s="140"/>
      <c r="P728" s="140"/>
      <c r="Q728" s="140"/>
      <c r="R728" s="140"/>
      <c r="S728" s="140"/>
      <c r="T728" s="140"/>
      <c r="U728" s="140"/>
      <c r="V728" s="140"/>
      <c r="W728" s="140"/>
      <c r="X728" s="140"/>
      <c r="Y728" s="140"/>
      <c r="Z728" s="140"/>
    </row>
    <row r="729" spans="1:26" ht="15.75" customHeight="1">
      <c r="A729" s="142"/>
      <c r="B729" s="141"/>
      <c r="C729" s="142"/>
      <c r="D729" s="142"/>
      <c r="E729" s="86"/>
      <c r="F729" s="86"/>
      <c r="G729" s="140"/>
      <c r="H729" s="140"/>
      <c r="I729" s="140"/>
      <c r="J729" s="140"/>
      <c r="K729" s="140"/>
      <c r="L729" s="140"/>
      <c r="M729" s="140"/>
      <c r="N729" s="140"/>
      <c r="O729" s="140"/>
      <c r="P729" s="140"/>
      <c r="Q729" s="140"/>
      <c r="R729" s="140"/>
      <c r="S729" s="140"/>
      <c r="T729" s="140"/>
      <c r="U729" s="140"/>
      <c r="V729" s="140"/>
      <c r="W729" s="140"/>
      <c r="X729" s="140"/>
      <c r="Y729" s="140"/>
      <c r="Z729" s="140"/>
    </row>
    <row r="730" spans="1:26" ht="15.75" customHeight="1">
      <c r="A730" s="142"/>
      <c r="B730" s="141"/>
      <c r="C730" s="142"/>
      <c r="D730" s="142"/>
      <c r="E730" s="86"/>
      <c r="F730" s="86"/>
      <c r="G730" s="140"/>
      <c r="H730" s="140"/>
      <c r="I730" s="140"/>
      <c r="J730" s="140"/>
      <c r="K730" s="140"/>
      <c r="L730" s="140"/>
      <c r="M730" s="140"/>
      <c r="N730" s="140"/>
      <c r="O730" s="140"/>
      <c r="P730" s="140"/>
      <c r="Q730" s="140"/>
      <c r="R730" s="140"/>
      <c r="S730" s="140"/>
      <c r="T730" s="140"/>
      <c r="U730" s="140"/>
      <c r="V730" s="140"/>
      <c r="W730" s="140"/>
      <c r="X730" s="140"/>
      <c r="Y730" s="140"/>
      <c r="Z730" s="140"/>
    </row>
    <row r="731" spans="1:26" ht="15.75" customHeight="1">
      <c r="A731" s="142"/>
      <c r="B731" s="141"/>
      <c r="C731" s="142"/>
      <c r="D731" s="142"/>
      <c r="E731" s="86"/>
      <c r="F731" s="86"/>
      <c r="G731" s="140"/>
      <c r="H731" s="140"/>
      <c r="I731" s="140"/>
      <c r="J731" s="140"/>
      <c r="K731" s="140"/>
      <c r="L731" s="140"/>
      <c r="M731" s="140"/>
      <c r="N731" s="140"/>
      <c r="O731" s="140"/>
      <c r="P731" s="140"/>
      <c r="Q731" s="140"/>
      <c r="R731" s="140"/>
      <c r="S731" s="140"/>
      <c r="T731" s="140"/>
      <c r="U731" s="140"/>
      <c r="V731" s="140"/>
      <c r="W731" s="140"/>
      <c r="X731" s="140"/>
      <c r="Y731" s="140"/>
      <c r="Z731" s="140"/>
    </row>
    <row r="732" spans="1:26" ht="15.75" customHeight="1">
      <c r="A732" s="142"/>
      <c r="B732" s="141"/>
      <c r="C732" s="142"/>
      <c r="D732" s="142"/>
      <c r="E732" s="86"/>
      <c r="F732" s="86"/>
      <c r="G732" s="140"/>
      <c r="H732" s="140"/>
      <c r="I732" s="140"/>
      <c r="J732" s="140"/>
      <c r="K732" s="140"/>
      <c r="L732" s="140"/>
      <c r="M732" s="140"/>
      <c r="N732" s="140"/>
      <c r="O732" s="140"/>
      <c r="P732" s="140"/>
      <c r="Q732" s="140"/>
      <c r="R732" s="140"/>
      <c r="S732" s="140"/>
      <c r="T732" s="140"/>
      <c r="U732" s="140"/>
      <c r="V732" s="140"/>
      <c r="W732" s="140"/>
      <c r="X732" s="140"/>
      <c r="Y732" s="140"/>
      <c r="Z732" s="140"/>
    </row>
    <row r="733" spans="1:26" ht="15.75" customHeight="1">
      <c r="A733" s="142"/>
      <c r="B733" s="141"/>
      <c r="C733" s="142"/>
      <c r="D733" s="142"/>
      <c r="E733" s="86"/>
      <c r="F733" s="86"/>
      <c r="G733" s="140"/>
      <c r="H733" s="140"/>
      <c r="I733" s="140"/>
      <c r="J733" s="140"/>
      <c r="K733" s="140"/>
      <c r="L733" s="140"/>
      <c r="M733" s="140"/>
      <c r="N733" s="140"/>
      <c r="O733" s="140"/>
      <c r="P733" s="140"/>
      <c r="Q733" s="140"/>
      <c r="R733" s="140"/>
      <c r="S733" s="140"/>
      <c r="T733" s="140"/>
      <c r="U733" s="140"/>
      <c r="V733" s="140"/>
      <c r="W733" s="140"/>
      <c r="X733" s="140"/>
      <c r="Y733" s="140"/>
      <c r="Z733" s="140"/>
    </row>
    <row r="734" spans="1:26" ht="15.75" customHeight="1">
      <c r="A734" s="142"/>
      <c r="B734" s="141"/>
      <c r="C734" s="142"/>
      <c r="D734" s="142"/>
      <c r="E734" s="86"/>
      <c r="F734" s="86"/>
      <c r="G734" s="140"/>
      <c r="H734" s="140"/>
      <c r="I734" s="140"/>
      <c r="J734" s="140"/>
      <c r="K734" s="140"/>
      <c r="L734" s="140"/>
      <c r="M734" s="140"/>
      <c r="N734" s="140"/>
      <c r="O734" s="140"/>
      <c r="P734" s="140"/>
      <c r="Q734" s="140"/>
      <c r="R734" s="140"/>
      <c r="S734" s="140"/>
      <c r="T734" s="140"/>
      <c r="U734" s="140"/>
      <c r="V734" s="140"/>
      <c r="W734" s="140"/>
      <c r="X734" s="140"/>
      <c r="Y734" s="140"/>
      <c r="Z734" s="140"/>
    </row>
    <row r="735" spans="1:26" ht="15.75" customHeight="1">
      <c r="A735" s="142"/>
      <c r="B735" s="141"/>
      <c r="C735" s="142"/>
      <c r="D735" s="142"/>
      <c r="E735" s="86"/>
      <c r="F735" s="86"/>
      <c r="G735" s="140"/>
      <c r="H735" s="140"/>
      <c r="I735" s="140"/>
      <c r="J735" s="140"/>
      <c r="K735" s="140"/>
      <c r="L735" s="140"/>
      <c r="M735" s="140"/>
      <c r="N735" s="140"/>
      <c r="O735" s="140"/>
      <c r="P735" s="140"/>
      <c r="Q735" s="140"/>
      <c r="R735" s="140"/>
      <c r="S735" s="140"/>
      <c r="T735" s="140"/>
      <c r="U735" s="140"/>
      <c r="V735" s="140"/>
      <c r="W735" s="140"/>
      <c r="X735" s="140"/>
      <c r="Y735" s="140"/>
      <c r="Z735" s="140"/>
    </row>
    <row r="736" spans="1:26" ht="15.75" customHeight="1">
      <c r="A736" s="142"/>
      <c r="B736" s="141"/>
      <c r="C736" s="142"/>
      <c r="D736" s="142"/>
      <c r="E736" s="86"/>
      <c r="F736" s="86"/>
      <c r="G736" s="140"/>
      <c r="H736" s="140"/>
      <c r="I736" s="140"/>
      <c r="J736" s="140"/>
      <c r="K736" s="140"/>
      <c r="L736" s="140"/>
      <c r="M736" s="140"/>
      <c r="N736" s="140"/>
      <c r="O736" s="140"/>
      <c r="P736" s="140"/>
      <c r="Q736" s="140"/>
      <c r="R736" s="140"/>
      <c r="S736" s="140"/>
      <c r="T736" s="140"/>
      <c r="U736" s="140"/>
      <c r="V736" s="140"/>
      <c r="W736" s="140"/>
      <c r="X736" s="140"/>
      <c r="Y736" s="140"/>
      <c r="Z736" s="140"/>
    </row>
    <row r="737" spans="1:26" ht="15.75" customHeight="1">
      <c r="A737" s="142"/>
      <c r="B737" s="141"/>
      <c r="C737" s="142"/>
      <c r="D737" s="142"/>
      <c r="E737" s="86"/>
      <c r="F737" s="86"/>
      <c r="G737" s="140"/>
      <c r="H737" s="140"/>
      <c r="I737" s="140"/>
      <c r="J737" s="140"/>
      <c r="K737" s="140"/>
      <c r="L737" s="140"/>
      <c r="M737" s="140"/>
      <c r="N737" s="140"/>
      <c r="O737" s="140"/>
      <c r="P737" s="140"/>
      <c r="Q737" s="140"/>
      <c r="R737" s="140"/>
      <c r="S737" s="140"/>
      <c r="T737" s="140"/>
      <c r="U737" s="140"/>
      <c r="V737" s="140"/>
      <c r="W737" s="140"/>
      <c r="X737" s="140"/>
      <c r="Y737" s="140"/>
      <c r="Z737" s="140"/>
    </row>
    <row r="738" spans="1:26" ht="15.75" customHeight="1">
      <c r="A738" s="142"/>
      <c r="B738" s="141"/>
      <c r="C738" s="142"/>
      <c r="D738" s="142"/>
      <c r="E738" s="86"/>
      <c r="F738" s="86"/>
      <c r="G738" s="140"/>
      <c r="H738" s="140"/>
      <c r="I738" s="140"/>
      <c r="J738" s="140"/>
      <c r="K738" s="140"/>
      <c r="L738" s="140"/>
      <c r="M738" s="140"/>
      <c r="N738" s="140"/>
      <c r="O738" s="140"/>
      <c r="P738" s="140"/>
      <c r="Q738" s="140"/>
      <c r="R738" s="140"/>
      <c r="S738" s="140"/>
      <c r="T738" s="140"/>
      <c r="U738" s="140"/>
      <c r="V738" s="140"/>
      <c r="W738" s="140"/>
      <c r="X738" s="140"/>
      <c r="Y738" s="140"/>
      <c r="Z738" s="140"/>
    </row>
    <row r="739" spans="1:26" ht="15.75" customHeight="1">
      <c r="A739" s="142"/>
      <c r="B739" s="141"/>
      <c r="C739" s="142"/>
      <c r="D739" s="142"/>
      <c r="E739" s="86"/>
      <c r="F739" s="86"/>
      <c r="G739" s="140"/>
      <c r="H739" s="140"/>
      <c r="I739" s="140"/>
      <c r="J739" s="140"/>
      <c r="K739" s="140"/>
      <c r="L739" s="140"/>
      <c r="M739" s="140"/>
      <c r="N739" s="140"/>
      <c r="O739" s="140"/>
      <c r="P739" s="140"/>
      <c r="Q739" s="140"/>
      <c r="R739" s="140"/>
      <c r="S739" s="140"/>
      <c r="T739" s="140"/>
      <c r="U739" s="140"/>
      <c r="V739" s="140"/>
      <c r="W739" s="140"/>
      <c r="X739" s="140"/>
      <c r="Y739" s="140"/>
      <c r="Z739" s="140"/>
    </row>
    <row r="740" spans="1:26" ht="15.75" customHeight="1">
      <c r="A740" s="142"/>
      <c r="B740" s="141"/>
      <c r="C740" s="142"/>
      <c r="D740" s="142"/>
      <c r="E740" s="86"/>
      <c r="F740" s="86"/>
      <c r="G740" s="140"/>
      <c r="H740" s="140"/>
      <c r="I740" s="140"/>
      <c r="J740" s="140"/>
      <c r="K740" s="140"/>
      <c r="L740" s="140"/>
      <c r="M740" s="140"/>
      <c r="N740" s="140"/>
      <c r="O740" s="140"/>
      <c r="P740" s="140"/>
      <c r="Q740" s="140"/>
      <c r="R740" s="140"/>
      <c r="S740" s="140"/>
      <c r="T740" s="140"/>
      <c r="U740" s="140"/>
      <c r="V740" s="140"/>
      <c r="W740" s="140"/>
      <c r="X740" s="140"/>
      <c r="Y740" s="140"/>
      <c r="Z740" s="140"/>
    </row>
    <row r="741" spans="1:26" ht="15.75" customHeight="1">
      <c r="A741" s="142"/>
      <c r="B741" s="141"/>
      <c r="C741" s="142"/>
      <c r="D741" s="142"/>
      <c r="E741" s="86"/>
      <c r="F741" s="86"/>
      <c r="G741" s="140"/>
      <c r="H741" s="140"/>
      <c r="I741" s="140"/>
      <c r="J741" s="140"/>
      <c r="K741" s="140"/>
      <c r="L741" s="140"/>
      <c r="M741" s="140"/>
      <c r="N741" s="140"/>
      <c r="O741" s="140"/>
      <c r="P741" s="140"/>
      <c r="Q741" s="140"/>
      <c r="R741" s="140"/>
      <c r="S741" s="140"/>
      <c r="T741" s="140"/>
      <c r="U741" s="140"/>
      <c r="V741" s="140"/>
      <c r="W741" s="140"/>
      <c r="X741" s="140"/>
      <c r="Y741" s="140"/>
      <c r="Z741" s="140"/>
    </row>
    <row r="742" spans="1:26" ht="15.75" customHeight="1">
      <c r="A742" s="142"/>
      <c r="B742" s="141"/>
      <c r="C742" s="142"/>
      <c r="D742" s="142"/>
      <c r="E742" s="86"/>
      <c r="F742" s="86"/>
      <c r="G742" s="140"/>
      <c r="H742" s="140"/>
      <c r="I742" s="140"/>
      <c r="J742" s="140"/>
      <c r="K742" s="140"/>
      <c r="L742" s="140"/>
      <c r="M742" s="140"/>
      <c r="N742" s="140"/>
      <c r="O742" s="140"/>
      <c r="P742" s="140"/>
      <c r="Q742" s="140"/>
      <c r="R742" s="140"/>
      <c r="S742" s="140"/>
      <c r="T742" s="140"/>
      <c r="U742" s="140"/>
      <c r="V742" s="140"/>
      <c r="W742" s="140"/>
      <c r="X742" s="140"/>
      <c r="Y742" s="140"/>
      <c r="Z742" s="140"/>
    </row>
    <row r="743" spans="1:26" ht="15.75" customHeight="1">
      <c r="A743" s="142"/>
      <c r="B743" s="141"/>
      <c r="C743" s="142"/>
      <c r="D743" s="142"/>
      <c r="E743" s="86"/>
      <c r="F743" s="86"/>
      <c r="G743" s="140"/>
      <c r="H743" s="140"/>
      <c r="I743" s="140"/>
      <c r="J743" s="140"/>
      <c r="K743" s="140"/>
      <c r="L743" s="140"/>
      <c r="M743" s="140"/>
      <c r="N743" s="140"/>
      <c r="O743" s="140"/>
      <c r="P743" s="140"/>
      <c r="Q743" s="140"/>
      <c r="R743" s="140"/>
      <c r="S743" s="140"/>
      <c r="T743" s="140"/>
      <c r="U743" s="140"/>
      <c r="V743" s="140"/>
      <c r="W743" s="140"/>
      <c r="X743" s="140"/>
      <c r="Y743" s="140"/>
      <c r="Z743" s="140"/>
    </row>
    <row r="744" spans="1:26" ht="15.75" customHeight="1">
      <c r="A744" s="142"/>
      <c r="B744" s="141"/>
      <c r="C744" s="142"/>
      <c r="D744" s="142"/>
      <c r="E744" s="86"/>
      <c r="F744" s="86"/>
      <c r="G744" s="140"/>
      <c r="H744" s="140"/>
      <c r="I744" s="140"/>
      <c r="J744" s="140"/>
      <c r="K744" s="140"/>
      <c r="L744" s="140"/>
      <c r="M744" s="140"/>
      <c r="N744" s="140"/>
      <c r="O744" s="140"/>
      <c r="P744" s="140"/>
      <c r="Q744" s="140"/>
      <c r="R744" s="140"/>
      <c r="S744" s="140"/>
      <c r="T744" s="140"/>
      <c r="U744" s="140"/>
      <c r="V744" s="140"/>
      <c r="W744" s="140"/>
      <c r="X744" s="140"/>
      <c r="Y744" s="140"/>
      <c r="Z744" s="140"/>
    </row>
    <row r="745" spans="1:26" ht="15.75" customHeight="1">
      <c r="A745" s="142"/>
      <c r="B745" s="141"/>
      <c r="C745" s="142"/>
      <c r="D745" s="142"/>
      <c r="E745" s="86"/>
      <c r="F745" s="86"/>
      <c r="G745" s="140"/>
      <c r="H745" s="140"/>
      <c r="I745" s="140"/>
      <c r="J745" s="140"/>
      <c r="K745" s="140"/>
      <c r="L745" s="140"/>
      <c r="M745" s="140"/>
      <c r="N745" s="140"/>
      <c r="O745" s="140"/>
      <c r="P745" s="140"/>
      <c r="Q745" s="140"/>
      <c r="R745" s="140"/>
      <c r="S745" s="140"/>
      <c r="T745" s="140"/>
      <c r="U745" s="140"/>
      <c r="V745" s="140"/>
      <c r="W745" s="140"/>
      <c r="X745" s="140"/>
      <c r="Y745" s="140"/>
      <c r="Z745" s="140"/>
    </row>
    <row r="746" spans="1:26" ht="15.75" customHeight="1">
      <c r="A746" s="142"/>
      <c r="B746" s="141"/>
      <c r="C746" s="142"/>
      <c r="D746" s="142"/>
      <c r="E746" s="86"/>
      <c r="F746" s="86"/>
      <c r="G746" s="140"/>
      <c r="H746" s="140"/>
      <c r="I746" s="140"/>
      <c r="J746" s="140"/>
      <c r="K746" s="140"/>
      <c r="L746" s="140"/>
      <c r="M746" s="140"/>
      <c r="N746" s="140"/>
      <c r="O746" s="140"/>
      <c r="P746" s="140"/>
      <c r="Q746" s="140"/>
      <c r="R746" s="140"/>
      <c r="S746" s="140"/>
      <c r="T746" s="140"/>
      <c r="U746" s="140"/>
      <c r="V746" s="140"/>
      <c r="W746" s="140"/>
      <c r="X746" s="140"/>
      <c r="Y746" s="140"/>
      <c r="Z746" s="140"/>
    </row>
    <row r="747" spans="1:26" ht="15.75" customHeight="1">
      <c r="A747" s="142"/>
      <c r="B747" s="141"/>
      <c r="C747" s="142"/>
      <c r="D747" s="142"/>
      <c r="E747" s="86"/>
      <c r="F747" s="86"/>
      <c r="G747" s="140"/>
      <c r="H747" s="140"/>
      <c r="I747" s="140"/>
      <c r="J747" s="140"/>
      <c r="K747" s="140"/>
      <c r="L747" s="140"/>
      <c r="M747" s="140"/>
      <c r="N747" s="140"/>
      <c r="O747" s="140"/>
      <c r="P747" s="140"/>
      <c r="Q747" s="140"/>
      <c r="R747" s="140"/>
      <c r="S747" s="140"/>
      <c r="T747" s="140"/>
      <c r="U747" s="140"/>
      <c r="V747" s="140"/>
      <c r="W747" s="140"/>
      <c r="X747" s="140"/>
      <c r="Y747" s="140"/>
      <c r="Z747" s="140"/>
    </row>
    <row r="748" spans="1:26" ht="15.75" customHeight="1">
      <c r="A748" s="142"/>
      <c r="B748" s="141"/>
      <c r="C748" s="142"/>
      <c r="D748" s="142"/>
      <c r="E748" s="86"/>
      <c r="F748" s="86"/>
      <c r="G748" s="140"/>
      <c r="H748" s="140"/>
      <c r="I748" s="140"/>
      <c r="J748" s="140"/>
      <c r="K748" s="140"/>
      <c r="L748" s="140"/>
      <c r="M748" s="140"/>
      <c r="N748" s="140"/>
      <c r="O748" s="140"/>
      <c r="P748" s="140"/>
      <c r="Q748" s="140"/>
      <c r="R748" s="140"/>
      <c r="S748" s="140"/>
      <c r="T748" s="140"/>
      <c r="U748" s="140"/>
      <c r="V748" s="140"/>
      <c r="W748" s="140"/>
      <c r="X748" s="140"/>
      <c r="Y748" s="140"/>
      <c r="Z748" s="140"/>
    </row>
    <row r="749" spans="1:26" ht="15.75" customHeight="1">
      <c r="A749" s="142"/>
      <c r="B749" s="141"/>
      <c r="C749" s="142"/>
      <c r="D749" s="142"/>
      <c r="E749" s="86"/>
      <c r="F749" s="86"/>
      <c r="G749" s="140"/>
      <c r="H749" s="140"/>
      <c r="I749" s="140"/>
      <c r="J749" s="140"/>
      <c r="K749" s="140"/>
      <c r="L749" s="140"/>
      <c r="M749" s="140"/>
      <c r="N749" s="140"/>
      <c r="O749" s="140"/>
      <c r="P749" s="140"/>
      <c r="Q749" s="140"/>
      <c r="R749" s="140"/>
      <c r="S749" s="140"/>
      <c r="T749" s="140"/>
      <c r="U749" s="140"/>
      <c r="V749" s="140"/>
      <c r="W749" s="140"/>
      <c r="X749" s="140"/>
      <c r="Y749" s="140"/>
      <c r="Z749" s="140"/>
    </row>
    <row r="750" spans="1:26" ht="15.75" customHeight="1">
      <c r="A750" s="142"/>
      <c r="B750" s="141"/>
      <c r="C750" s="142"/>
      <c r="D750" s="142"/>
      <c r="E750" s="86"/>
      <c r="F750" s="86"/>
      <c r="G750" s="140"/>
      <c r="H750" s="140"/>
      <c r="I750" s="140"/>
      <c r="J750" s="140"/>
      <c r="K750" s="140"/>
      <c r="L750" s="140"/>
      <c r="M750" s="140"/>
      <c r="N750" s="140"/>
      <c r="O750" s="140"/>
      <c r="P750" s="140"/>
      <c r="Q750" s="140"/>
      <c r="R750" s="140"/>
      <c r="S750" s="140"/>
      <c r="T750" s="140"/>
      <c r="U750" s="140"/>
      <c r="V750" s="140"/>
      <c r="W750" s="140"/>
      <c r="X750" s="140"/>
      <c r="Y750" s="140"/>
      <c r="Z750" s="140"/>
    </row>
    <row r="751" spans="1:26" ht="15.75" customHeight="1">
      <c r="A751" s="142"/>
      <c r="B751" s="141"/>
      <c r="C751" s="142"/>
      <c r="D751" s="142"/>
      <c r="E751" s="86"/>
      <c r="F751" s="86"/>
      <c r="G751" s="140"/>
      <c r="H751" s="140"/>
      <c r="I751" s="140"/>
      <c r="J751" s="140"/>
      <c r="K751" s="140"/>
      <c r="L751" s="140"/>
      <c r="M751" s="140"/>
      <c r="N751" s="140"/>
      <c r="O751" s="140"/>
      <c r="P751" s="140"/>
      <c r="Q751" s="140"/>
      <c r="R751" s="140"/>
      <c r="S751" s="140"/>
      <c r="T751" s="140"/>
      <c r="U751" s="140"/>
      <c r="V751" s="140"/>
      <c r="W751" s="140"/>
      <c r="X751" s="140"/>
      <c r="Y751" s="140"/>
      <c r="Z751" s="140"/>
    </row>
    <row r="752" spans="1:26" ht="15.75" customHeight="1">
      <c r="A752" s="142"/>
      <c r="B752" s="141"/>
      <c r="C752" s="142"/>
      <c r="D752" s="142"/>
      <c r="E752" s="86"/>
      <c r="F752" s="86"/>
      <c r="G752" s="140"/>
      <c r="H752" s="140"/>
      <c r="I752" s="140"/>
      <c r="J752" s="140"/>
      <c r="K752" s="140"/>
      <c r="L752" s="140"/>
      <c r="M752" s="140"/>
      <c r="N752" s="140"/>
      <c r="O752" s="140"/>
      <c r="P752" s="140"/>
      <c r="Q752" s="140"/>
      <c r="R752" s="140"/>
      <c r="S752" s="140"/>
      <c r="T752" s="140"/>
      <c r="U752" s="140"/>
      <c r="V752" s="140"/>
      <c r="W752" s="140"/>
      <c r="X752" s="140"/>
      <c r="Y752" s="140"/>
      <c r="Z752" s="140"/>
    </row>
    <row r="753" spans="1:26" ht="15.75" customHeight="1">
      <c r="A753" s="142"/>
      <c r="B753" s="141"/>
      <c r="C753" s="142"/>
      <c r="D753" s="142"/>
      <c r="E753" s="86"/>
      <c r="F753" s="86"/>
      <c r="G753" s="140"/>
      <c r="H753" s="140"/>
      <c r="I753" s="140"/>
      <c r="J753" s="140"/>
      <c r="K753" s="140"/>
      <c r="L753" s="140"/>
      <c r="M753" s="140"/>
      <c r="N753" s="140"/>
      <c r="O753" s="140"/>
      <c r="P753" s="140"/>
      <c r="Q753" s="140"/>
      <c r="R753" s="140"/>
      <c r="S753" s="140"/>
      <c r="T753" s="140"/>
      <c r="U753" s="140"/>
      <c r="V753" s="140"/>
      <c r="W753" s="140"/>
      <c r="X753" s="140"/>
      <c r="Y753" s="140"/>
      <c r="Z753" s="140"/>
    </row>
    <row r="754" spans="1:26" ht="15.75" customHeight="1">
      <c r="A754" s="142"/>
      <c r="B754" s="141"/>
      <c r="C754" s="142"/>
      <c r="D754" s="142"/>
      <c r="E754" s="86"/>
      <c r="F754" s="86"/>
      <c r="G754" s="140"/>
      <c r="H754" s="140"/>
      <c r="I754" s="140"/>
      <c r="J754" s="140"/>
      <c r="K754" s="140"/>
      <c r="L754" s="140"/>
      <c r="M754" s="140"/>
      <c r="N754" s="140"/>
      <c r="O754" s="140"/>
      <c r="P754" s="140"/>
      <c r="Q754" s="140"/>
      <c r="R754" s="140"/>
      <c r="S754" s="140"/>
      <c r="T754" s="140"/>
      <c r="U754" s="140"/>
      <c r="V754" s="140"/>
      <c r="W754" s="140"/>
      <c r="X754" s="140"/>
      <c r="Y754" s="140"/>
      <c r="Z754" s="140"/>
    </row>
    <row r="755" spans="1:26" ht="15.75" customHeight="1">
      <c r="A755" s="142"/>
      <c r="B755" s="141"/>
      <c r="C755" s="142"/>
      <c r="D755" s="142"/>
      <c r="E755" s="86"/>
      <c r="F755" s="86"/>
      <c r="G755" s="140"/>
      <c r="H755" s="140"/>
      <c r="I755" s="140"/>
      <c r="J755" s="140"/>
      <c r="K755" s="140"/>
      <c r="L755" s="140"/>
      <c r="M755" s="140"/>
      <c r="N755" s="140"/>
      <c r="O755" s="140"/>
      <c r="P755" s="140"/>
      <c r="Q755" s="140"/>
      <c r="R755" s="140"/>
      <c r="S755" s="140"/>
      <c r="T755" s="140"/>
      <c r="U755" s="140"/>
      <c r="V755" s="140"/>
      <c r="W755" s="140"/>
      <c r="X755" s="140"/>
      <c r="Y755" s="140"/>
      <c r="Z755" s="140"/>
    </row>
    <row r="756" spans="1:26" ht="15.75" customHeight="1">
      <c r="A756" s="142"/>
      <c r="B756" s="141"/>
      <c r="C756" s="142"/>
      <c r="D756" s="142"/>
      <c r="E756" s="86"/>
      <c r="F756" s="86"/>
      <c r="G756" s="140"/>
      <c r="H756" s="140"/>
      <c r="I756" s="140"/>
      <c r="J756" s="140"/>
      <c r="K756" s="140"/>
      <c r="L756" s="140"/>
      <c r="M756" s="140"/>
      <c r="N756" s="140"/>
      <c r="O756" s="140"/>
      <c r="P756" s="140"/>
      <c r="Q756" s="140"/>
      <c r="R756" s="140"/>
      <c r="S756" s="140"/>
      <c r="T756" s="140"/>
      <c r="U756" s="140"/>
      <c r="V756" s="140"/>
      <c r="W756" s="140"/>
      <c r="X756" s="140"/>
      <c r="Y756" s="140"/>
      <c r="Z756" s="140"/>
    </row>
    <row r="757" spans="1:26" ht="15.75" customHeight="1">
      <c r="A757" s="142"/>
      <c r="B757" s="141"/>
      <c r="C757" s="142"/>
      <c r="D757" s="142"/>
      <c r="E757" s="86"/>
      <c r="F757" s="86"/>
      <c r="G757" s="140"/>
      <c r="H757" s="140"/>
      <c r="I757" s="140"/>
      <c r="J757" s="140"/>
      <c r="K757" s="140"/>
      <c r="L757" s="140"/>
      <c r="M757" s="140"/>
      <c r="N757" s="140"/>
      <c r="O757" s="140"/>
      <c r="P757" s="140"/>
      <c r="Q757" s="140"/>
      <c r="R757" s="140"/>
      <c r="S757" s="140"/>
      <c r="T757" s="140"/>
      <c r="U757" s="140"/>
      <c r="V757" s="140"/>
      <c r="W757" s="140"/>
      <c r="X757" s="140"/>
      <c r="Y757" s="140"/>
      <c r="Z757" s="140"/>
    </row>
    <row r="758" spans="1:26" ht="15.75" customHeight="1">
      <c r="A758" s="142"/>
      <c r="B758" s="141"/>
      <c r="C758" s="142"/>
      <c r="D758" s="142"/>
      <c r="E758" s="86"/>
      <c r="F758" s="86"/>
      <c r="G758" s="140"/>
      <c r="H758" s="140"/>
      <c r="I758" s="140"/>
      <c r="J758" s="140"/>
      <c r="K758" s="140"/>
      <c r="L758" s="140"/>
      <c r="M758" s="140"/>
      <c r="N758" s="140"/>
      <c r="O758" s="140"/>
      <c r="P758" s="140"/>
      <c r="Q758" s="140"/>
      <c r="R758" s="140"/>
      <c r="S758" s="140"/>
      <c r="T758" s="140"/>
      <c r="U758" s="140"/>
      <c r="V758" s="140"/>
      <c r="W758" s="140"/>
      <c r="X758" s="140"/>
      <c r="Y758" s="140"/>
      <c r="Z758" s="140"/>
    </row>
    <row r="759" spans="1:26" ht="15.75" customHeight="1">
      <c r="A759" s="142"/>
      <c r="B759" s="141"/>
      <c r="C759" s="142"/>
      <c r="D759" s="142"/>
      <c r="E759" s="86"/>
      <c r="F759" s="86"/>
      <c r="G759" s="140"/>
      <c r="H759" s="140"/>
      <c r="I759" s="140"/>
      <c r="J759" s="140"/>
      <c r="K759" s="140"/>
      <c r="L759" s="140"/>
      <c r="M759" s="140"/>
      <c r="N759" s="140"/>
      <c r="O759" s="140"/>
      <c r="P759" s="140"/>
      <c r="Q759" s="140"/>
      <c r="R759" s="140"/>
      <c r="S759" s="140"/>
      <c r="T759" s="140"/>
      <c r="U759" s="140"/>
      <c r="V759" s="140"/>
      <c r="W759" s="140"/>
      <c r="X759" s="140"/>
      <c r="Y759" s="140"/>
      <c r="Z759" s="140"/>
    </row>
    <row r="760" spans="1:26" ht="15.75" customHeight="1">
      <c r="A760" s="142"/>
      <c r="B760" s="141"/>
      <c r="C760" s="142"/>
      <c r="D760" s="142"/>
      <c r="E760" s="86"/>
      <c r="F760" s="86"/>
      <c r="G760" s="140"/>
      <c r="H760" s="140"/>
      <c r="I760" s="140"/>
      <c r="J760" s="140"/>
      <c r="K760" s="140"/>
      <c r="L760" s="140"/>
      <c r="M760" s="140"/>
      <c r="N760" s="140"/>
      <c r="O760" s="140"/>
      <c r="P760" s="140"/>
      <c r="Q760" s="140"/>
      <c r="R760" s="140"/>
      <c r="S760" s="140"/>
      <c r="T760" s="140"/>
      <c r="U760" s="140"/>
      <c r="V760" s="140"/>
      <c r="W760" s="140"/>
      <c r="X760" s="140"/>
      <c r="Y760" s="140"/>
      <c r="Z760" s="140"/>
    </row>
    <row r="761" spans="1:26" ht="15.75" customHeight="1">
      <c r="A761" s="142"/>
      <c r="B761" s="141"/>
      <c r="C761" s="142"/>
      <c r="D761" s="142"/>
      <c r="E761" s="86"/>
      <c r="F761" s="86"/>
      <c r="G761" s="140"/>
      <c r="H761" s="140"/>
      <c r="I761" s="140"/>
      <c r="J761" s="140"/>
      <c r="K761" s="140"/>
      <c r="L761" s="140"/>
      <c r="M761" s="140"/>
      <c r="N761" s="140"/>
      <c r="O761" s="140"/>
      <c r="P761" s="140"/>
      <c r="Q761" s="140"/>
      <c r="R761" s="140"/>
      <c r="S761" s="140"/>
      <c r="T761" s="140"/>
      <c r="U761" s="140"/>
      <c r="V761" s="140"/>
      <c r="W761" s="140"/>
      <c r="X761" s="140"/>
      <c r="Y761" s="140"/>
      <c r="Z761" s="140"/>
    </row>
    <row r="762" spans="1:26" ht="15.75" customHeight="1">
      <c r="A762" s="142"/>
      <c r="B762" s="141"/>
      <c r="C762" s="142"/>
      <c r="D762" s="142"/>
      <c r="E762" s="86"/>
      <c r="F762" s="86"/>
      <c r="G762" s="140"/>
      <c r="H762" s="140"/>
      <c r="I762" s="140"/>
      <c r="J762" s="140"/>
      <c r="K762" s="140"/>
      <c r="L762" s="140"/>
      <c r="M762" s="140"/>
      <c r="N762" s="140"/>
      <c r="O762" s="140"/>
      <c r="P762" s="140"/>
      <c r="Q762" s="140"/>
      <c r="R762" s="140"/>
      <c r="S762" s="140"/>
      <c r="T762" s="140"/>
      <c r="U762" s="140"/>
      <c r="V762" s="140"/>
      <c r="W762" s="140"/>
      <c r="X762" s="140"/>
      <c r="Y762" s="140"/>
      <c r="Z762" s="140"/>
    </row>
    <row r="763" spans="1:26" ht="15.75" customHeight="1">
      <c r="A763" s="142"/>
      <c r="B763" s="141"/>
      <c r="C763" s="142"/>
      <c r="D763" s="142"/>
      <c r="E763" s="86"/>
      <c r="F763" s="86"/>
      <c r="G763" s="140"/>
      <c r="H763" s="140"/>
      <c r="I763" s="140"/>
      <c r="J763" s="140"/>
      <c r="K763" s="140"/>
      <c r="L763" s="140"/>
      <c r="M763" s="140"/>
      <c r="N763" s="140"/>
      <c r="O763" s="140"/>
      <c r="P763" s="140"/>
      <c r="Q763" s="140"/>
      <c r="R763" s="140"/>
      <c r="S763" s="140"/>
      <c r="T763" s="140"/>
      <c r="U763" s="140"/>
      <c r="V763" s="140"/>
      <c r="W763" s="140"/>
      <c r="X763" s="140"/>
      <c r="Y763" s="140"/>
      <c r="Z763" s="140"/>
    </row>
    <row r="764" spans="1:26" ht="15.75" customHeight="1">
      <c r="A764" s="142"/>
      <c r="B764" s="141"/>
      <c r="C764" s="142"/>
      <c r="D764" s="142"/>
      <c r="E764" s="86"/>
      <c r="F764" s="86"/>
      <c r="G764" s="140"/>
      <c r="H764" s="140"/>
      <c r="I764" s="140"/>
      <c r="J764" s="140"/>
      <c r="K764" s="140"/>
      <c r="L764" s="140"/>
      <c r="M764" s="140"/>
      <c r="N764" s="140"/>
      <c r="O764" s="140"/>
      <c r="P764" s="140"/>
      <c r="Q764" s="140"/>
      <c r="R764" s="140"/>
      <c r="S764" s="140"/>
      <c r="T764" s="140"/>
      <c r="U764" s="140"/>
      <c r="V764" s="140"/>
      <c r="W764" s="140"/>
      <c r="X764" s="140"/>
      <c r="Y764" s="140"/>
      <c r="Z764" s="140"/>
    </row>
    <row r="765" spans="1:26" ht="15.75" customHeight="1">
      <c r="A765" s="142"/>
      <c r="B765" s="141"/>
      <c r="C765" s="142"/>
      <c r="D765" s="142"/>
      <c r="E765" s="86"/>
      <c r="F765" s="86"/>
      <c r="G765" s="140"/>
      <c r="H765" s="140"/>
      <c r="I765" s="140"/>
      <c r="J765" s="140"/>
      <c r="K765" s="140"/>
      <c r="L765" s="140"/>
      <c r="M765" s="140"/>
      <c r="N765" s="140"/>
      <c r="O765" s="140"/>
      <c r="P765" s="140"/>
      <c r="Q765" s="140"/>
      <c r="R765" s="140"/>
      <c r="S765" s="140"/>
      <c r="T765" s="140"/>
      <c r="U765" s="140"/>
      <c r="V765" s="140"/>
      <c r="W765" s="140"/>
      <c r="X765" s="140"/>
      <c r="Y765" s="140"/>
      <c r="Z765" s="140"/>
    </row>
    <row r="766" spans="1:26" ht="15.75" customHeight="1">
      <c r="A766" s="142"/>
      <c r="B766" s="141"/>
      <c r="C766" s="142"/>
      <c r="D766" s="142"/>
      <c r="E766" s="86"/>
      <c r="F766" s="86"/>
      <c r="G766" s="140"/>
      <c r="H766" s="140"/>
      <c r="I766" s="140"/>
      <c r="J766" s="140"/>
      <c r="K766" s="140"/>
      <c r="L766" s="140"/>
      <c r="M766" s="140"/>
      <c r="N766" s="140"/>
      <c r="O766" s="140"/>
      <c r="P766" s="140"/>
      <c r="Q766" s="140"/>
      <c r="R766" s="140"/>
      <c r="S766" s="140"/>
      <c r="T766" s="140"/>
      <c r="U766" s="140"/>
      <c r="V766" s="140"/>
      <c r="W766" s="140"/>
      <c r="X766" s="140"/>
      <c r="Y766" s="140"/>
      <c r="Z766" s="140"/>
    </row>
    <row r="767" spans="1:26" ht="15.75" customHeight="1">
      <c r="A767" s="142"/>
      <c r="B767" s="141"/>
      <c r="C767" s="142"/>
      <c r="D767" s="142"/>
      <c r="E767" s="86"/>
      <c r="F767" s="86"/>
      <c r="G767" s="140"/>
      <c r="H767" s="140"/>
      <c r="I767" s="140"/>
      <c r="J767" s="140"/>
      <c r="K767" s="140"/>
      <c r="L767" s="140"/>
      <c r="M767" s="140"/>
      <c r="N767" s="140"/>
      <c r="O767" s="140"/>
      <c r="P767" s="140"/>
      <c r="Q767" s="140"/>
      <c r="R767" s="140"/>
      <c r="S767" s="140"/>
      <c r="T767" s="140"/>
      <c r="U767" s="140"/>
      <c r="V767" s="140"/>
      <c r="W767" s="140"/>
      <c r="X767" s="140"/>
      <c r="Y767" s="140"/>
      <c r="Z767" s="140"/>
    </row>
    <row r="768" spans="1:26" ht="15.75" customHeight="1">
      <c r="A768" s="142"/>
      <c r="B768" s="141"/>
      <c r="C768" s="142"/>
      <c r="D768" s="142"/>
      <c r="E768" s="86"/>
      <c r="F768" s="86"/>
      <c r="G768" s="140"/>
      <c r="H768" s="140"/>
      <c r="I768" s="140"/>
      <c r="J768" s="140"/>
      <c r="K768" s="140"/>
      <c r="L768" s="140"/>
      <c r="M768" s="140"/>
      <c r="N768" s="140"/>
      <c r="O768" s="140"/>
      <c r="P768" s="140"/>
      <c r="Q768" s="140"/>
      <c r="R768" s="140"/>
      <c r="S768" s="140"/>
      <c r="T768" s="140"/>
      <c r="U768" s="140"/>
      <c r="V768" s="140"/>
      <c r="W768" s="140"/>
      <c r="X768" s="140"/>
      <c r="Y768" s="140"/>
      <c r="Z768" s="140"/>
    </row>
    <row r="769" spans="1:26" ht="15.75" customHeight="1">
      <c r="A769" s="142"/>
      <c r="B769" s="141"/>
      <c r="C769" s="142"/>
      <c r="D769" s="142"/>
      <c r="E769" s="86"/>
      <c r="F769" s="86"/>
      <c r="G769" s="140"/>
      <c r="H769" s="140"/>
      <c r="I769" s="140"/>
      <c r="J769" s="140"/>
      <c r="K769" s="140"/>
      <c r="L769" s="140"/>
      <c r="M769" s="140"/>
      <c r="N769" s="140"/>
      <c r="O769" s="140"/>
      <c r="P769" s="140"/>
      <c r="Q769" s="140"/>
      <c r="R769" s="140"/>
      <c r="S769" s="140"/>
      <c r="T769" s="140"/>
      <c r="U769" s="140"/>
      <c r="V769" s="140"/>
      <c r="W769" s="140"/>
      <c r="X769" s="140"/>
      <c r="Y769" s="140"/>
      <c r="Z769" s="140"/>
    </row>
    <row r="770" spans="1:26" ht="15.75" customHeight="1">
      <c r="A770" s="142"/>
      <c r="B770" s="141"/>
      <c r="C770" s="142"/>
      <c r="D770" s="142"/>
      <c r="E770" s="86"/>
      <c r="F770" s="86"/>
      <c r="G770" s="140"/>
      <c r="H770" s="140"/>
      <c r="I770" s="140"/>
      <c r="J770" s="140"/>
      <c r="K770" s="140"/>
      <c r="L770" s="140"/>
      <c r="M770" s="140"/>
      <c r="N770" s="140"/>
      <c r="O770" s="140"/>
      <c r="P770" s="140"/>
      <c r="Q770" s="140"/>
      <c r="R770" s="140"/>
      <c r="S770" s="140"/>
      <c r="T770" s="140"/>
      <c r="U770" s="140"/>
      <c r="V770" s="140"/>
      <c r="W770" s="140"/>
      <c r="X770" s="140"/>
      <c r="Y770" s="140"/>
      <c r="Z770" s="140"/>
    </row>
    <row r="771" spans="1:26" ht="15.75" customHeight="1">
      <c r="A771" s="142"/>
      <c r="B771" s="141"/>
      <c r="C771" s="142"/>
      <c r="D771" s="142"/>
      <c r="E771" s="86"/>
      <c r="F771" s="86"/>
      <c r="G771" s="140"/>
      <c r="H771" s="140"/>
      <c r="I771" s="140"/>
      <c r="J771" s="140"/>
      <c r="K771" s="140"/>
      <c r="L771" s="140"/>
      <c r="M771" s="140"/>
      <c r="N771" s="140"/>
      <c r="O771" s="140"/>
      <c r="P771" s="140"/>
      <c r="Q771" s="140"/>
      <c r="R771" s="140"/>
      <c r="S771" s="140"/>
      <c r="T771" s="140"/>
      <c r="U771" s="140"/>
      <c r="V771" s="140"/>
      <c r="W771" s="140"/>
      <c r="X771" s="140"/>
      <c r="Y771" s="140"/>
      <c r="Z771" s="140"/>
    </row>
    <row r="772" spans="1:26" ht="15.75" customHeight="1">
      <c r="A772" s="142"/>
      <c r="B772" s="141"/>
      <c r="C772" s="142"/>
      <c r="D772" s="142"/>
      <c r="E772" s="86"/>
      <c r="F772" s="86"/>
      <c r="G772" s="140"/>
      <c r="H772" s="140"/>
      <c r="I772" s="140"/>
      <c r="J772" s="140"/>
      <c r="K772" s="140"/>
      <c r="L772" s="140"/>
      <c r="M772" s="140"/>
      <c r="N772" s="140"/>
      <c r="O772" s="140"/>
      <c r="P772" s="140"/>
      <c r="Q772" s="140"/>
      <c r="R772" s="140"/>
      <c r="S772" s="140"/>
      <c r="T772" s="140"/>
      <c r="U772" s="140"/>
      <c r="V772" s="140"/>
      <c r="W772" s="140"/>
      <c r="X772" s="140"/>
      <c r="Y772" s="140"/>
      <c r="Z772" s="140"/>
    </row>
    <row r="773" spans="1:26" ht="15.75" customHeight="1">
      <c r="A773" s="142"/>
      <c r="B773" s="141"/>
      <c r="C773" s="142"/>
      <c r="D773" s="142"/>
      <c r="E773" s="86"/>
      <c r="F773" s="86"/>
      <c r="G773" s="140"/>
      <c r="H773" s="140"/>
      <c r="I773" s="140"/>
      <c r="J773" s="140"/>
      <c r="K773" s="140"/>
      <c r="L773" s="140"/>
      <c r="M773" s="140"/>
      <c r="N773" s="140"/>
      <c r="O773" s="140"/>
      <c r="P773" s="140"/>
      <c r="Q773" s="140"/>
      <c r="R773" s="140"/>
      <c r="S773" s="140"/>
      <c r="T773" s="140"/>
      <c r="U773" s="140"/>
      <c r="V773" s="140"/>
      <c r="W773" s="140"/>
      <c r="X773" s="140"/>
      <c r="Y773" s="140"/>
      <c r="Z773" s="140"/>
    </row>
    <row r="774" spans="1:26" ht="15.75" customHeight="1">
      <c r="A774" s="142"/>
      <c r="B774" s="141"/>
      <c r="C774" s="142"/>
      <c r="D774" s="142"/>
      <c r="E774" s="86"/>
      <c r="F774" s="86"/>
      <c r="G774" s="140"/>
      <c r="H774" s="140"/>
      <c r="I774" s="140"/>
      <c r="J774" s="140"/>
      <c r="K774" s="140"/>
      <c r="L774" s="140"/>
      <c r="M774" s="140"/>
      <c r="N774" s="140"/>
      <c r="O774" s="140"/>
      <c r="P774" s="140"/>
      <c r="Q774" s="140"/>
      <c r="R774" s="140"/>
      <c r="S774" s="140"/>
      <c r="T774" s="140"/>
      <c r="U774" s="140"/>
      <c r="V774" s="140"/>
      <c r="W774" s="140"/>
      <c r="X774" s="140"/>
      <c r="Y774" s="140"/>
      <c r="Z774" s="140"/>
    </row>
    <row r="775" spans="1:26" ht="15.75" customHeight="1">
      <c r="A775" s="142"/>
      <c r="B775" s="141"/>
      <c r="C775" s="142"/>
      <c r="D775" s="142"/>
      <c r="E775" s="86"/>
      <c r="F775" s="86"/>
      <c r="G775" s="140"/>
      <c r="H775" s="140"/>
      <c r="I775" s="140"/>
      <c r="J775" s="140"/>
      <c r="K775" s="140"/>
      <c r="L775" s="140"/>
      <c r="M775" s="140"/>
      <c r="N775" s="140"/>
      <c r="O775" s="140"/>
      <c r="P775" s="140"/>
      <c r="Q775" s="140"/>
      <c r="R775" s="140"/>
      <c r="S775" s="140"/>
      <c r="T775" s="140"/>
      <c r="U775" s="140"/>
      <c r="V775" s="140"/>
      <c r="W775" s="140"/>
      <c r="X775" s="140"/>
      <c r="Y775" s="140"/>
      <c r="Z775" s="140"/>
    </row>
    <row r="776" spans="1:26" ht="15.75" customHeight="1">
      <c r="A776" s="142"/>
      <c r="B776" s="141"/>
      <c r="C776" s="142"/>
      <c r="D776" s="142"/>
      <c r="E776" s="86"/>
      <c r="F776" s="86"/>
      <c r="G776" s="140"/>
      <c r="H776" s="140"/>
      <c r="I776" s="140"/>
      <c r="J776" s="140"/>
      <c r="K776" s="140"/>
      <c r="L776" s="140"/>
      <c r="M776" s="140"/>
      <c r="N776" s="140"/>
      <c r="O776" s="140"/>
      <c r="P776" s="140"/>
      <c r="Q776" s="140"/>
      <c r="R776" s="140"/>
      <c r="S776" s="140"/>
      <c r="T776" s="140"/>
      <c r="U776" s="140"/>
      <c r="V776" s="140"/>
      <c r="W776" s="140"/>
      <c r="X776" s="140"/>
      <c r="Y776" s="140"/>
      <c r="Z776" s="140"/>
    </row>
    <row r="777" spans="1:26" ht="15.75" customHeight="1">
      <c r="A777" s="142"/>
      <c r="B777" s="141"/>
      <c r="C777" s="142"/>
      <c r="D777" s="142"/>
      <c r="E777" s="86"/>
      <c r="F777" s="86"/>
      <c r="G777" s="140"/>
      <c r="H777" s="140"/>
      <c r="I777" s="140"/>
      <c r="J777" s="140"/>
      <c r="K777" s="140"/>
      <c r="L777" s="140"/>
      <c r="M777" s="140"/>
      <c r="N777" s="140"/>
      <c r="O777" s="140"/>
      <c r="P777" s="140"/>
      <c r="Q777" s="140"/>
      <c r="R777" s="140"/>
      <c r="S777" s="140"/>
      <c r="T777" s="140"/>
      <c r="U777" s="140"/>
      <c r="V777" s="140"/>
      <c r="W777" s="140"/>
      <c r="X777" s="140"/>
      <c r="Y777" s="140"/>
      <c r="Z777" s="140"/>
    </row>
    <row r="778" spans="1:26" ht="15.75" customHeight="1">
      <c r="A778" s="142"/>
      <c r="B778" s="141"/>
      <c r="C778" s="142"/>
      <c r="D778" s="142"/>
      <c r="E778" s="86"/>
      <c r="F778" s="86"/>
      <c r="G778" s="140"/>
      <c r="H778" s="140"/>
      <c r="I778" s="140"/>
      <c r="J778" s="140"/>
      <c r="K778" s="140"/>
      <c r="L778" s="140"/>
      <c r="M778" s="140"/>
      <c r="N778" s="140"/>
      <c r="O778" s="140"/>
      <c r="P778" s="140"/>
      <c r="Q778" s="140"/>
      <c r="R778" s="140"/>
      <c r="S778" s="140"/>
      <c r="T778" s="140"/>
      <c r="U778" s="140"/>
      <c r="V778" s="140"/>
      <c r="W778" s="140"/>
      <c r="X778" s="140"/>
      <c r="Y778" s="140"/>
      <c r="Z778" s="140"/>
    </row>
    <row r="779" spans="1:26" ht="15.75" customHeight="1">
      <c r="A779" s="142"/>
      <c r="B779" s="141"/>
      <c r="C779" s="142"/>
      <c r="D779" s="142"/>
      <c r="E779" s="86"/>
      <c r="F779" s="86"/>
      <c r="G779" s="140"/>
      <c r="H779" s="140"/>
      <c r="I779" s="140"/>
      <c r="J779" s="140"/>
      <c r="K779" s="140"/>
      <c r="L779" s="140"/>
      <c r="M779" s="140"/>
      <c r="N779" s="140"/>
      <c r="O779" s="140"/>
      <c r="P779" s="140"/>
      <c r="Q779" s="140"/>
      <c r="R779" s="140"/>
      <c r="S779" s="140"/>
      <c r="T779" s="140"/>
      <c r="U779" s="140"/>
      <c r="V779" s="140"/>
      <c r="W779" s="140"/>
      <c r="X779" s="140"/>
      <c r="Y779" s="140"/>
      <c r="Z779" s="140"/>
    </row>
    <row r="780" spans="1:26" ht="15.75" customHeight="1">
      <c r="A780" s="142"/>
      <c r="B780" s="141"/>
      <c r="C780" s="142"/>
      <c r="D780" s="142"/>
      <c r="E780" s="86"/>
      <c r="F780" s="86"/>
      <c r="G780" s="140"/>
      <c r="H780" s="140"/>
      <c r="I780" s="140"/>
      <c r="J780" s="140"/>
      <c r="K780" s="140"/>
      <c r="L780" s="140"/>
      <c r="M780" s="140"/>
      <c r="N780" s="140"/>
      <c r="O780" s="140"/>
      <c r="P780" s="140"/>
      <c r="Q780" s="140"/>
      <c r="R780" s="140"/>
      <c r="S780" s="140"/>
      <c r="T780" s="140"/>
      <c r="U780" s="140"/>
      <c r="V780" s="140"/>
      <c r="W780" s="140"/>
      <c r="X780" s="140"/>
      <c r="Y780" s="140"/>
      <c r="Z780" s="140"/>
    </row>
    <row r="781" spans="1:26" ht="15.75" customHeight="1">
      <c r="A781" s="142"/>
      <c r="B781" s="141"/>
      <c r="C781" s="142"/>
      <c r="D781" s="142"/>
      <c r="E781" s="86"/>
      <c r="F781" s="86"/>
      <c r="G781" s="140"/>
      <c r="H781" s="140"/>
      <c r="I781" s="140"/>
      <c r="J781" s="140"/>
      <c r="K781" s="140"/>
      <c r="L781" s="140"/>
      <c r="M781" s="140"/>
      <c r="N781" s="140"/>
      <c r="O781" s="140"/>
      <c r="P781" s="140"/>
      <c r="Q781" s="140"/>
      <c r="R781" s="140"/>
      <c r="S781" s="140"/>
      <c r="T781" s="140"/>
      <c r="U781" s="140"/>
      <c r="V781" s="140"/>
      <c r="W781" s="140"/>
      <c r="X781" s="140"/>
      <c r="Y781" s="140"/>
      <c r="Z781" s="140"/>
    </row>
    <row r="782" spans="1:26" ht="15.75" customHeight="1">
      <c r="A782" s="142"/>
      <c r="B782" s="141"/>
      <c r="C782" s="142"/>
      <c r="D782" s="142"/>
      <c r="E782" s="86"/>
      <c r="F782" s="86"/>
      <c r="G782" s="140"/>
      <c r="H782" s="140"/>
      <c r="I782" s="140"/>
      <c r="J782" s="140"/>
      <c r="K782" s="140"/>
      <c r="L782" s="140"/>
      <c r="M782" s="140"/>
      <c r="N782" s="140"/>
      <c r="O782" s="140"/>
      <c r="P782" s="140"/>
      <c r="Q782" s="140"/>
      <c r="R782" s="140"/>
      <c r="S782" s="140"/>
      <c r="T782" s="140"/>
      <c r="U782" s="140"/>
      <c r="V782" s="140"/>
      <c r="W782" s="140"/>
      <c r="X782" s="140"/>
      <c r="Y782" s="140"/>
      <c r="Z782" s="140"/>
    </row>
    <row r="783" spans="1:26" ht="15.75" customHeight="1">
      <c r="A783" s="142"/>
      <c r="B783" s="141"/>
      <c r="C783" s="142"/>
      <c r="D783" s="142"/>
      <c r="E783" s="86"/>
      <c r="F783" s="86"/>
      <c r="G783" s="140"/>
      <c r="H783" s="140"/>
      <c r="I783" s="140"/>
      <c r="J783" s="140"/>
      <c r="K783" s="140"/>
      <c r="L783" s="140"/>
      <c r="M783" s="140"/>
      <c r="N783" s="140"/>
      <c r="O783" s="140"/>
      <c r="P783" s="140"/>
      <c r="Q783" s="140"/>
      <c r="R783" s="140"/>
      <c r="S783" s="140"/>
      <c r="T783" s="140"/>
      <c r="U783" s="140"/>
      <c r="V783" s="140"/>
      <c r="W783" s="140"/>
      <c r="X783" s="140"/>
      <c r="Y783" s="140"/>
      <c r="Z783" s="140"/>
    </row>
    <row r="784" spans="1:26" ht="15.75" customHeight="1">
      <c r="A784" s="142"/>
      <c r="B784" s="141"/>
      <c r="C784" s="142"/>
      <c r="D784" s="142"/>
      <c r="E784" s="86"/>
      <c r="F784" s="86"/>
      <c r="G784" s="140"/>
      <c r="H784" s="140"/>
      <c r="I784" s="140"/>
      <c r="J784" s="140"/>
      <c r="K784" s="140"/>
      <c r="L784" s="140"/>
      <c r="M784" s="140"/>
      <c r="N784" s="140"/>
      <c r="O784" s="140"/>
      <c r="P784" s="140"/>
      <c r="Q784" s="140"/>
      <c r="R784" s="140"/>
      <c r="S784" s="140"/>
      <c r="T784" s="140"/>
      <c r="U784" s="140"/>
      <c r="V784" s="140"/>
      <c r="W784" s="140"/>
      <c r="X784" s="140"/>
      <c r="Y784" s="140"/>
      <c r="Z784" s="140"/>
    </row>
    <row r="785" spans="1:26" ht="15.75" customHeight="1">
      <c r="A785" s="142"/>
      <c r="B785" s="141"/>
      <c r="C785" s="142"/>
      <c r="D785" s="142"/>
      <c r="E785" s="86"/>
      <c r="F785" s="86"/>
      <c r="G785" s="140"/>
      <c r="H785" s="140"/>
      <c r="I785" s="140"/>
      <c r="J785" s="140"/>
      <c r="K785" s="140"/>
      <c r="L785" s="140"/>
      <c r="M785" s="140"/>
      <c r="N785" s="140"/>
      <c r="O785" s="140"/>
      <c r="P785" s="140"/>
      <c r="Q785" s="140"/>
      <c r="R785" s="140"/>
      <c r="S785" s="140"/>
      <c r="T785" s="140"/>
      <c r="U785" s="140"/>
      <c r="V785" s="140"/>
      <c r="W785" s="140"/>
      <c r="X785" s="140"/>
      <c r="Y785" s="140"/>
      <c r="Z785" s="140"/>
    </row>
    <row r="786" spans="1:26" ht="15.75" customHeight="1">
      <c r="A786" s="142"/>
      <c r="B786" s="141"/>
      <c r="C786" s="142"/>
      <c r="D786" s="142"/>
      <c r="E786" s="86"/>
      <c r="F786" s="86"/>
      <c r="G786" s="140"/>
      <c r="H786" s="140"/>
      <c r="I786" s="140"/>
      <c r="J786" s="140"/>
      <c r="K786" s="140"/>
      <c r="L786" s="140"/>
      <c r="M786" s="140"/>
      <c r="N786" s="140"/>
      <c r="O786" s="140"/>
      <c r="P786" s="140"/>
      <c r="Q786" s="140"/>
      <c r="R786" s="140"/>
      <c r="S786" s="140"/>
      <c r="T786" s="140"/>
      <c r="U786" s="140"/>
      <c r="V786" s="140"/>
      <c r="W786" s="140"/>
      <c r="X786" s="140"/>
      <c r="Y786" s="140"/>
      <c r="Z786" s="140"/>
    </row>
    <row r="787" spans="1:26" ht="15.75" customHeight="1">
      <c r="A787" s="142"/>
      <c r="B787" s="141"/>
      <c r="C787" s="142"/>
      <c r="D787" s="142"/>
      <c r="E787" s="86"/>
      <c r="F787" s="86"/>
      <c r="G787" s="140"/>
      <c r="H787" s="140"/>
      <c r="I787" s="140"/>
      <c r="J787" s="140"/>
      <c r="K787" s="140"/>
      <c r="L787" s="140"/>
      <c r="M787" s="140"/>
      <c r="N787" s="140"/>
      <c r="O787" s="140"/>
      <c r="P787" s="140"/>
      <c r="Q787" s="140"/>
      <c r="R787" s="140"/>
      <c r="S787" s="140"/>
      <c r="T787" s="140"/>
      <c r="U787" s="140"/>
      <c r="V787" s="140"/>
      <c r="W787" s="140"/>
      <c r="X787" s="140"/>
      <c r="Y787" s="140"/>
      <c r="Z787" s="140"/>
    </row>
    <row r="788" spans="1:26" ht="15.75" customHeight="1">
      <c r="A788" s="142"/>
      <c r="B788" s="141"/>
      <c r="C788" s="142"/>
      <c r="D788" s="142"/>
      <c r="E788" s="86"/>
      <c r="F788" s="86"/>
      <c r="G788" s="140"/>
      <c r="H788" s="140"/>
      <c r="I788" s="140"/>
      <c r="J788" s="140"/>
      <c r="K788" s="140"/>
      <c r="L788" s="140"/>
      <c r="M788" s="140"/>
      <c r="N788" s="140"/>
      <c r="O788" s="140"/>
      <c r="P788" s="140"/>
      <c r="Q788" s="140"/>
      <c r="R788" s="140"/>
      <c r="S788" s="140"/>
      <c r="T788" s="140"/>
      <c r="U788" s="140"/>
      <c r="V788" s="140"/>
      <c r="W788" s="140"/>
      <c r="X788" s="140"/>
      <c r="Y788" s="140"/>
      <c r="Z788" s="140"/>
    </row>
    <row r="789" spans="1:26" ht="15.75" customHeight="1">
      <c r="A789" s="142"/>
      <c r="B789" s="141"/>
      <c r="C789" s="142"/>
      <c r="D789" s="142"/>
      <c r="E789" s="86"/>
      <c r="F789" s="86"/>
      <c r="G789" s="140"/>
      <c r="H789" s="140"/>
      <c r="I789" s="140"/>
      <c r="J789" s="140"/>
      <c r="K789" s="140"/>
      <c r="L789" s="140"/>
      <c r="M789" s="140"/>
      <c r="N789" s="140"/>
      <c r="O789" s="140"/>
      <c r="P789" s="140"/>
      <c r="Q789" s="140"/>
      <c r="R789" s="140"/>
      <c r="S789" s="140"/>
      <c r="T789" s="140"/>
      <c r="U789" s="140"/>
      <c r="V789" s="140"/>
      <c r="W789" s="140"/>
      <c r="X789" s="140"/>
      <c r="Y789" s="140"/>
      <c r="Z789" s="140"/>
    </row>
    <row r="790" spans="1:26" ht="15.75" customHeight="1">
      <c r="A790" s="142"/>
      <c r="B790" s="141"/>
      <c r="C790" s="142"/>
      <c r="D790" s="142"/>
      <c r="E790" s="86"/>
      <c r="F790" s="86"/>
      <c r="G790" s="140"/>
      <c r="H790" s="140"/>
      <c r="I790" s="140"/>
      <c r="J790" s="140"/>
      <c r="K790" s="140"/>
      <c r="L790" s="140"/>
      <c r="M790" s="140"/>
      <c r="N790" s="140"/>
      <c r="O790" s="140"/>
      <c r="P790" s="140"/>
      <c r="Q790" s="140"/>
      <c r="R790" s="140"/>
      <c r="S790" s="140"/>
      <c r="T790" s="140"/>
      <c r="U790" s="140"/>
      <c r="V790" s="140"/>
      <c r="W790" s="140"/>
      <c r="X790" s="140"/>
      <c r="Y790" s="140"/>
      <c r="Z790" s="140"/>
    </row>
    <row r="791" spans="1:26" ht="15.75" customHeight="1">
      <c r="A791" s="142"/>
      <c r="B791" s="141"/>
      <c r="C791" s="142"/>
      <c r="D791" s="142"/>
      <c r="E791" s="86"/>
      <c r="F791" s="86"/>
      <c r="G791" s="140"/>
      <c r="H791" s="140"/>
      <c r="I791" s="140"/>
      <c r="J791" s="140"/>
      <c r="K791" s="140"/>
      <c r="L791" s="140"/>
      <c r="M791" s="140"/>
      <c r="N791" s="140"/>
      <c r="O791" s="140"/>
      <c r="P791" s="140"/>
      <c r="Q791" s="140"/>
      <c r="R791" s="140"/>
      <c r="S791" s="140"/>
      <c r="T791" s="140"/>
      <c r="U791" s="140"/>
      <c r="V791" s="140"/>
      <c r="W791" s="140"/>
      <c r="X791" s="140"/>
      <c r="Y791" s="140"/>
      <c r="Z791" s="140"/>
    </row>
    <row r="792" spans="1:26" ht="15.75" customHeight="1">
      <c r="A792" s="142"/>
      <c r="B792" s="141"/>
      <c r="C792" s="142"/>
      <c r="D792" s="142"/>
      <c r="E792" s="86"/>
      <c r="F792" s="86"/>
      <c r="G792" s="140"/>
      <c r="H792" s="140"/>
      <c r="I792" s="140"/>
      <c r="J792" s="140"/>
      <c r="K792" s="140"/>
      <c r="L792" s="140"/>
      <c r="M792" s="140"/>
      <c r="N792" s="140"/>
      <c r="O792" s="140"/>
      <c r="P792" s="140"/>
      <c r="Q792" s="140"/>
      <c r="R792" s="140"/>
      <c r="S792" s="140"/>
      <c r="T792" s="140"/>
      <c r="U792" s="140"/>
      <c r="V792" s="140"/>
      <c r="W792" s="140"/>
      <c r="X792" s="140"/>
      <c r="Y792" s="140"/>
      <c r="Z792" s="140"/>
    </row>
    <row r="793" spans="1:26" ht="15.75" customHeight="1">
      <c r="A793" s="142"/>
      <c r="B793" s="141"/>
      <c r="C793" s="142"/>
      <c r="D793" s="142"/>
      <c r="E793" s="86"/>
      <c r="F793" s="86"/>
      <c r="G793" s="140"/>
      <c r="H793" s="140"/>
      <c r="I793" s="140"/>
      <c r="J793" s="140"/>
      <c r="K793" s="140"/>
      <c r="L793" s="140"/>
      <c r="M793" s="140"/>
      <c r="N793" s="140"/>
      <c r="O793" s="140"/>
      <c r="P793" s="140"/>
      <c r="Q793" s="140"/>
      <c r="R793" s="140"/>
      <c r="S793" s="140"/>
      <c r="T793" s="140"/>
      <c r="U793" s="140"/>
      <c r="V793" s="140"/>
      <c r="W793" s="140"/>
      <c r="X793" s="140"/>
      <c r="Y793" s="140"/>
      <c r="Z793" s="140"/>
    </row>
    <row r="794" spans="1:26" ht="15.75" customHeight="1">
      <c r="A794" s="142"/>
      <c r="B794" s="141"/>
      <c r="C794" s="142"/>
      <c r="D794" s="142"/>
      <c r="E794" s="86"/>
      <c r="F794" s="86"/>
      <c r="G794" s="140"/>
      <c r="H794" s="140"/>
      <c r="I794" s="140"/>
      <c r="J794" s="140"/>
      <c r="K794" s="140"/>
      <c r="L794" s="140"/>
      <c r="M794" s="140"/>
      <c r="N794" s="140"/>
      <c r="O794" s="140"/>
      <c r="P794" s="140"/>
      <c r="Q794" s="140"/>
      <c r="R794" s="140"/>
      <c r="S794" s="140"/>
      <c r="T794" s="140"/>
      <c r="U794" s="140"/>
      <c r="V794" s="140"/>
      <c r="W794" s="140"/>
      <c r="X794" s="140"/>
      <c r="Y794" s="140"/>
      <c r="Z794" s="140"/>
    </row>
    <row r="795" spans="1:26" ht="15.75" customHeight="1">
      <c r="A795" s="142"/>
      <c r="B795" s="141"/>
      <c r="C795" s="142"/>
      <c r="D795" s="142"/>
      <c r="E795" s="86"/>
      <c r="F795" s="86"/>
      <c r="G795" s="140"/>
      <c r="H795" s="140"/>
      <c r="I795" s="140"/>
      <c r="J795" s="140"/>
      <c r="K795" s="140"/>
      <c r="L795" s="140"/>
      <c r="M795" s="140"/>
      <c r="N795" s="140"/>
      <c r="O795" s="140"/>
      <c r="P795" s="140"/>
      <c r="Q795" s="140"/>
      <c r="R795" s="140"/>
      <c r="S795" s="140"/>
      <c r="T795" s="140"/>
      <c r="U795" s="140"/>
      <c r="V795" s="140"/>
      <c r="W795" s="140"/>
      <c r="X795" s="140"/>
      <c r="Y795" s="140"/>
      <c r="Z795" s="140"/>
    </row>
    <row r="796" spans="1:26" ht="15.75" customHeight="1">
      <c r="A796" s="142"/>
      <c r="B796" s="141"/>
      <c r="C796" s="142"/>
      <c r="D796" s="142"/>
      <c r="E796" s="86"/>
      <c r="F796" s="86"/>
      <c r="G796" s="140"/>
      <c r="H796" s="140"/>
      <c r="I796" s="140"/>
      <c r="J796" s="140"/>
      <c r="K796" s="140"/>
      <c r="L796" s="140"/>
      <c r="M796" s="140"/>
      <c r="N796" s="140"/>
      <c r="O796" s="140"/>
      <c r="P796" s="140"/>
      <c r="Q796" s="140"/>
      <c r="R796" s="140"/>
      <c r="S796" s="140"/>
      <c r="T796" s="140"/>
      <c r="U796" s="140"/>
      <c r="V796" s="140"/>
      <c r="W796" s="140"/>
      <c r="X796" s="140"/>
      <c r="Y796" s="140"/>
      <c r="Z796" s="140"/>
    </row>
    <row r="797" spans="1:26" ht="15.75" customHeight="1">
      <c r="A797" s="142"/>
      <c r="B797" s="141"/>
      <c r="C797" s="142"/>
      <c r="D797" s="142"/>
      <c r="E797" s="86"/>
      <c r="F797" s="86"/>
      <c r="G797" s="140"/>
      <c r="H797" s="140"/>
      <c r="I797" s="140"/>
      <c r="J797" s="140"/>
      <c r="K797" s="140"/>
      <c r="L797" s="140"/>
      <c r="M797" s="140"/>
      <c r="N797" s="140"/>
      <c r="O797" s="140"/>
      <c r="P797" s="140"/>
      <c r="Q797" s="140"/>
      <c r="R797" s="140"/>
      <c r="S797" s="140"/>
      <c r="T797" s="140"/>
      <c r="U797" s="140"/>
      <c r="V797" s="140"/>
      <c r="W797" s="140"/>
      <c r="X797" s="140"/>
      <c r="Y797" s="140"/>
      <c r="Z797" s="140"/>
    </row>
    <row r="798" spans="1:26" ht="15.75" customHeight="1">
      <c r="A798" s="142"/>
      <c r="B798" s="141"/>
      <c r="C798" s="142"/>
      <c r="D798" s="142"/>
      <c r="E798" s="86"/>
      <c r="F798" s="86"/>
      <c r="G798" s="140"/>
      <c r="H798" s="140"/>
      <c r="I798" s="140"/>
      <c r="J798" s="140"/>
      <c r="K798" s="140"/>
      <c r="L798" s="140"/>
      <c r="M798" s="140"/>
      <c r="N798" s="140"/>
      <c r="O798" s="140"/>
      <c r="P798" s="140"/>
      <c r="Q798" s="140"/>
      <c r="R798" s="140"/>
      <c r="S798" s="140"/>
      <c r="T798" s="140"/>
      <c r="U798" s="140"/>
      <c r="V798" s="140"/>
      <c r="W798" s="140"/>
      <c r="X798" s="140"/>
      <c r="Y798" s="140"/>
      <c r="Z798" s="140"/>
    </row>
    <row r="799" spans="1:26" ht="15.75" customHeight="1">
      <c r="A799" s="142"/>
      <c r="B799" s="141"/>
      <c r="C799" s="142"/>
      <c r="D799" s="142"/>
      <c r="E799" s="86"/>
      <c r="F799" s="86"/>
      <c r="G799" s="140"/>
      <c r="H799" s="140"/>
      <c r="I799" s="140"/>
      <c r="J799" s="140"/>
      <c r="K799" s="140"/>
      <c r="L799" s="140"/>
      <c r="M799" s="140"/>
      <c r="N799" s="140"/>
      <c r="O799" s="140"/>
      <c r="P799" s="140"/>
      <c r="Q799" s="140"/>
      <c r="R799" s="140"/>
      <c r="S799" s="140"/>
      <c r="T799" s="140"/>
      <c r="U799" s="140"/>
      <c r="V799" s="140"/>
      <c r="W799" s="140"/>
      <c r="X799" s="140"/>
      <c r="Y799" s="140"/>
      <c r="Z799" s="140"/>
    </row>
    <row r="800" spans="1:26" ht="15.75" customHeight="1">
      <c r="A800" s="142"/>
      <c r="B800" s="141"/>
      <c r="C800" s="142"/>
      <c r="D800" s="142"/>
      <c r="E800" s="86"/>
      <c r="F800" s="86"/>
      <c r="G800" s="140"/>
      <c r="H800" s="140"/>
      <c r="I800" s="140"/>
      <c r="J800" s="140"/>
      <c r="K800" s="140"/>
      <c r="L800" s="140"/>
      <c r="M800" s="140"/>
      <c r="N800" s="140"/>
      <c r="O800" s="140"/>
      <c r="P800" s="140"/>
      <c r="Q800" s="140"/>
      <c r="R800" s="140"/>
      <c r="S800" s="140"/>
      <c r="T800" s="140"/>
      <c r="U800" s="140"/>
      <c r="V800" s="140"/>
      <c r="W800" s="140"/>
      <c r="X800" s="140"/>
      <c r="Y800" s="140"/>
      <c r="Z800" s="140"/>
    </row>
    <row r="801" spans="1:26" ht="15.75" customHeight="1">
      <c r="A801" s="142"/>
      <c r="B801" s="141"/>
      <c r="C801" s="142"/>
      <c r="D801" s="142"/>
      <c r="E801" s="86"/>
      <c r="F801" s="86"/>
      <c r="G801" s="140"/>
      <c r="H801" s="140"/>
      <c r="I801" s="140"/>
      <c r="J801" s="140"/>
      <c r="K801" s="140"/>
      <c r="L801" s="140"/>
      <c r="M801" s="140"/>
      <c r="N801" s="140"/>
      <c r="O801" s="140"/>
      <c r="P801" s="140"/>
      <c r="Q801" s="140"/>
      <c r="R801" s="140"/>
      <c r="S801" s="140"/>
      <c r="T801" s="140"/>
      <c r="U801" s="140"/>
      <c r="V801" s="140"/>
      <c r="W801" s="140"/>
      <c r="X801" s="140"/>
      <c r="Y801" s="140"/>
      <c r="Z801" s="140"/>
    </row>
    <row r="802" spans="1:26" ht="15.75" customHeight="1">
      <c r="A802" s="142"/>
      <c r="B802" s="141"/>
      <c r="C802" s="142"/>
      <c r="D802" s="142"/>
      <c r="E802" s="86"/>
      <c r="F802" s="86"/>
      <c r="G802" s="140"/>
      <c r="H802" s="140"/>
      <c r="I802" s="140"/>
      <c r="J802" s="140"/>
      <c r="K802" s="140"/>
      <c r="L802" s="140"/>
      <c r="M802" s="140"/>
      <c r="N802" s="140"/>
      <c r="O802" s="140"/>
      <c r="P802" s="140"/>
      <c r="Q802" s="140"/>
      <c r="R802" s="140"/>
      <c r="S802" s="140"/>
      <c r="T802" s="140"/>
      <c r="U802" s="140"/>
      <c r="V802" s="140"/>
      <c r="W802" s="140"/>
      <c r="X802" s="140"/>
      <c r="Y802" s="140"/>
      <c r="Z802" s="140"/>
    </row>
    <row r="803" spans="1:26" ht="15.75" customHeight="1">
      <c r="A803" s="142"/>
      <c r="B803" s="141"/>
      <c r="C803" s="142"/>
      <c r="D803" s="142"/>
      <c r="E803" s="86"/>
      <c r="F803" s="86"/>
      <c r="G803" s="140"/>
      <c r="H803" s="140"/>
      <c r="I803" s="140"/>
      <c r="J803" s="140"/>
      <c r="K803" s="140"/>
      <c r="L803" s="140"/>
      <c r="M803" s="140"/>
      <c r="N803" s="140"/>
      <c r="O803" s="140"/>
      <c r="P803" s="140"/>
      <c r="Q803" s="140"/>
      <c r="R803" s="140"/>
      <c r="S803" s="140"/>
      <c r="T803" s="140"/>
      <c r="U803" s="140"/>
      <c r="V803" s="140"/>
      <c r="W803" s="140"/>
      <c r="X803" s="140"/>
      <c r="Y803" s="140"/>
      <c r="Z803" s="140"/>
    </row>
    <row r="804" spans="1:26" ht="15.75" customHeight="1">
      <c r="A804" s="142"/>
      <c r="B804" s="141"/>
      <c r="C804" s="142"/>
      <c r="D804" s="142"/>
      <c r="E804" s="86"/>
      <c r="F804" s="86"/>
      <c r="G804" s="140"/>
      <c r="H804" s="140"/>
      <c r="I804" s="140"/>
      <c r="J804" s="140"/>
      <c r="K804" s="140"/>
      <c r="L804" s="140"/>
      <c r="M804" s="140"/>
      <c r="N804" s="140"/>
      <c r="O804" s="140"/>
      <c r="P804" s="140"/>
      <c r="Q804" s="140"/>
      <c r="R804" s="140"/>
      <c r="S804" s="140"/>
      <c r="T804" s="140"/>
      <c r="U804" s="140"/>
      <c r="V804" s="140"/>
      <c r="W804" s="140"/>
      <c r="X804" s="140"/>
      <c r="Y804" s="140"/>
      <c r="Z804" s="140"/>
    </row>
    <row r="805" spans="1:26" ht="15.75" customHeight="1">
      <c r="A805" s="142"/>
      <c r="B805" s="141"/>
      <c r="C805" s="142"/>
      <c r="D805" s="142"/>
      <c r="E805" s="86"/>
      <c r="F805" s="86"/>
      <c r="G805" s="140"/>
      <c r="H805" s="140"/>
      <c r="I805" s="140"/>
      <c r="J805" s="140"/>
      <c r="K805" s="140"/>
      <c r="L805" s="140"/>
      <c r="M805" s="140"/>
      <c r="N805" s="140"/>
      <c r="O805" s="140"/>
      <c r="P805" s="140"/>
      <c r="Q805" s="140"/>
      <c r="R805" s="140"/>
      <c r="S805" s="140"/>
      <c r="T805" s="140"/>
      <c r="U805" s="140"/>
      <c r="V805" s="140"/>
      <c r="W805" s="140"/>
      <c r="X805" s="140"/>
      <c r="Y805" s="140"/>
      <c r="Z805" s="140"/>
    </row>
    <row r="806" spans="1:26" ht="15.75" customHeight="1">
      <c r="A806" s="142"/>
      <c r="B806" s="141"/>
      <c r="C806" s="142"/>
      <c r="D806" s="142"/>
      <c r="E806" s="86"/>
      <c r="F806" s="86"/>
      <c r="G806" s="140"/>
      <c r="H806" s="140"/>
      <c r="I806" s="140"/>
      <c r="J806" s="140"/>
      <c r="K806" s="140"/>
      <c r="L806" s="140"/>
      <c r="M806" s="140"/>
      <c r="N806" s="140"/>
      <c r="O806" s="140"/>
      <c r="P806" s="140"/>
      <c r="Q806" s="140"/>
      <c r="R806" s="140"/>
      <c r="S806" s="140"/>
      <c r="T806" s="140"/>
      <c r="U806" s="140"/>
      <c r="V806" s="140"/>
      <c r="W806" s="140"/>
      <c r="X806" s="140"/>
      <c r="Y806" s="140"/>
      <c r="Z806" s="140"/>
    </row>
    <row r="807" spans="1:26" ht="15.75" customHeight="1">
      <c r="A807" s="142"/>
      <c r="B807" s="141"/>
      <c r="C807" s="142"/>
      <c r="D807" s="142"/>
      <c r="E807" s="86"/>
      <c r="F807" s="86"/>
      <c r="G807" s="140"/>
      <c r="H807" s="140"/>
      <c r="I807" s="140"/>
      <c r="J807" s="140"/>
      <c r="K807" s="140"/>
      <c r="L807" s="140"/>
      <c r="M807" s="140"/>
      <c r="N807" s="140"/>
      <c r="O807" s="140"/>
      <c r="P807" s="140"/>
      <c r="Q807" s="140"/>
      <c r="R807" s="140"/>
      <c r="S807" s="140"/>
      <c r="T807" s="140"/>
      <c r="U807" s="140"/>
      <c r="V807" s="140"/>
      <c r="W807" s="140"/>
      <c r="X807" s="140"/>
      <c r="Y807" s="140"/>
      <c r="Z807" s="140"/>
    </row>
    <row r="808" spans="1:26" ht="15.75" customHeight="1">
      <c r="A808" s="142"/>
      <c r="B808" s="141"/>
      <c r="C808" s="142"/>
      <c r="D808" s="142"/>
      <c r="E808" s="86"/>
      <c r="F808" s="86"/>
      <c r="G808" s="140"/>
      <c r="H808" s="140"/>
      <c r="I808" s="140"/>
      <c r="J808" s="140"/>
      <c r="K808" s="140"/>
      <c r="L808" s="140"/>
      <c r="M808" s="140"/>
      <c r="N808" s="140"/>
      <c r="O808" s="140"/>
      <c r="P808" s="140"/>
      <c r="Q808" s="140"/>
      <c r="R808" s="140"/>
      <c r="S808" s="140"/>
      <c r="T808" s="140"/>
      <c r="U808" s="140"/>
      <c r="V808" s="140"/>
      <c r="W808" s="140"/>
      <c r="X808" s="140"/>
      <c r="Y808" s="140"/>
      <c r="Z808" s="140"/>
    </row>
    <row r="809" spans="1:26" ht="15.75" customHeight="1">
      <c r="A809" s="142"/>
      <c r="B809" s="141"/>
      <c r="C809" s="142"/>
      <c r="D809" s="142"/>
      <c r="E809" s="86"/>
      <c r="F809" s="86"/>
      <c r="G809" s="140"/>
      <c r="H809" s="140"/>
      <c r="I809" s="140"/>
      <c r="J809" s="140"/>
      <c r="K809" s="140"/>
      <c r="L809" s="140"/>
      <c r="M809" s="140"/>
      <c r="N809" s="140"/>
      <c r="O809" s="140"/>
      <c r="P809" s="140"/>
      <c r="Q809" s="140"/>
      <c r="R809" s="140"/>
      <c r="S809" s="140"/>
      <c r="T809" s="140"/>
      <c r="U809" s="140"/>
      <c r="V809" s="140"/>
      <c r="W809" s="140"/>
      <c r="X809" s="140"/>
      <c r="Y809" s="140"/>
      <c r="Z809" s="140"/>
    </row>
    <row r="810" spans="1:26" ht="15.75" customHeight="1">
      <c r="A810" s="142"/>
      <c r="B810" s="141"/>
      <c r="C810" s="142"/>
      <c r="D810" s="142"/>
      <c r="E810" s="86"/>
      <c r="F810" s="86"/>
      <c r="G810" s="140"/>
      <c r="H810" s="140"/>
      <c r="I810" s="140"/>
      <c r="J810" s="140"/>
      <c r="K810" s="140"/>
      <c r="L810" s="140"/>
      <c r="M810" s="140"/>
      <c r="N810" s="140"/>
      <c r="O810" s="140"/>
      <c r="P810" s="140"/>
      <c r="Q810" s="140"/>
      <c r="R810" s="140"/>
      <c r="S810" s="140"/>
      <c r="T810" s="140"/>
      <c r="U810" s="140"/>
      <c r="V810" s="140"/>
      <c r="W810" s="140"/>
      <c r="X810" s="140"/>
      <c r="Y810" s="140"/>
      <c r="Z810" s="140"/>
    </row>
    <row r="811" spans="1:26" ht="15.75" customHeight="1">
      <c r="A811" s="142"/>
      <c r="B811" s="141"/>
      <c r="C811" s="142"/>
      <c r="D811" s="142"/>
      <c r="E811" s="86"/>
      <c r="F811" s="86"/>
      <c r="G811" s="140"/>
      <c r="H811" s="140"/>
      <c r="I811" s="140"/>
      <c r="J811" s="140"/>
      <c r="K811" s="140"/>
      <c r="L811" s="140"/>
      <c r="M811" s="140"/>
      <c r="N811" s="140"/>
      <c r="O811" s="140"/>
      <c r="P811" s="140"/>
      <c r="Q811" s="140"/>
      <c r="R811" s="140"/>
      <c r="S811" s="140"/>
      <c r="T811" s="140"/>
      <c r="U811" s="140"/>
      <c r="V811" s="140"/>
      <c r="W811" s="140"/>
      <c r="X811" s="140"/>
      <c r="Y811" s="140"/>
      <c r="Z811" s="140"/>
    </row>
    <row r="812" spans="1:26" ht="15.75" customHeight="1">
      <c r="A812" s="142"/>
      <c r="B812" s="141"/>
      <c r="C812" s="142"/>
      <c r="D812" s="142"/>
      <c r="E812" s="86"/>
      <c r="F812" s="86"/>
      <c r="G812" s="140"/>
      <c r="H812" s="140"/>
      <c r="I812" s="140"/>
      <c r="J812" s="140"/>
      <c r="K812" s="140"/>
      <c r="L812" s="140"/>
      <c r="M812" s="140"/>
      <c r="N812" s="140"/>
      <c r="O812" s="140"/>
      <c r="P812" s="140"/>
      <c r="Q812" s="140"/>
      <c r="R812" s="140"/>
      <c r="S812" s="140"/>
      <c r="T812" s="140"/>
      <c r="U812" s="140"/>
      <c r="V812" s="140"/>
      <c r="W812" s="140"/>
      <c r="X812" s="140"/>
      <c r="Y812" s="140"/>
      <c r="Z812" s="140"/>
    </row>
    <row r="813" spans="1:26" ht="15.75" customHeight="1">
      <c r="A813" s="142"/>
      <c r="B813" s="141"/>
      <c r="C813" s="142"/>
      <c r="D813" s="142"/>
      <c r="E813" s="86"/>
      <c r="F813" s="86"/>
      <c r="G813" s="140"/>
      <c r="H813" s="140"/>
      <c r="I813" s="140"/>
      <c r="J813" s="140"/>
      <c r="K813" s="140"/>
      <c r="L813" s="140"/>
      <c r="M813" s="140"/>
      <c r="N813" s="140"/>
      <c r="O813" s="140"/>
      <c r="P813" s="140"/>
      <c r="Q813" s="140"/>
      <c r="R813" s="140"/>
      <c r="S813" s="140"/>
      <c r="T813" s="140"/>
      <c r="U813" s="140"/>
      <c r="V813" s="140"/>
      <c r="W813" s="140"/>
      <c r="X813" s="140"/>
      <c r="Y813" s="140"/>
      <c r="Z813" s="140"/>
    </row>
    <row r="814" spans="1:26" ht="15.75" customHeight="1">
      <c r="A814" s="142"/>
      <c r="B814" s="141"/>
      <c r="C814" s="142"/>
      <c r="D814" s="142"/>
      <c r="E814" s="86"/>
      <c r="F814" s="86"/>
      <c r="G814" s="140"/>
      <c r="H814" s="140"/>
      <c r="I814" s="140"/>
      <c r="J814" s="140"/>
      <c r="K814" s="140"/>
      <c r="L814" s="140"/>
      <c r="M814" s="140"/>
      <c r="N814" s="140"/>
      <c r="O814" s="140"/>
      <c r="P814" s="140"/>
      <c r="Q814" s="140"/>
      <c r="R814" s="140"/>
      <c r="S814" s="140"/>
      <c r="T814" s="140"/>
      <c r="U814" s="140"/>
      <c r="V814" s="140"/>
      <c r="W814" s="140"/>
      <c r="X814" s="140"/>
      <c r="Y814" s="140"/>
      <c r="Z814" s="140"/>
    </row>
    <row r="815" spans="1:26" ht="15.75" customHeight="1">
      <c r="A815" s="142"/>
      <c r="B815" s="141"/>
      <c r="C815" s="142"/>
      <c r="D815" s="142"/>
      <c r="E815" s="86"/>
      <c r="F815" s="86"/>
      <c r="G815" s="140"/>
      <c r="H815" s="140"/>
      <c r="I815" s="140"/>
      <c r="J815" s="140"/>
      <c r="K815" s="140"/>
      <c r="L815" s="140"/>
      <c r="M815" s="140"/>
      <c r="N815" s="140"/>
      <c r="O815" s="140"/>
      <c r="P815" s="140"/>
      <c r="Q815" s="140"/>
      <c r="R815" s="140"/>
      <c r="S815" s="140"/>
      <c r="T815" s="140"/>
      <c r="U815" s="140"/>
      <c r="V815" s="140"/>
      <c r="W815" s="140"/>
      <c r="X815" s="140"/>
      <c r="Y815" s="140"/>
      <c r="Z815" s="140"/>
    </row>
    <row r="816" spans="1:26" ht="15.75" customHeight="1">
      <c r="A816" s="142"/>
      <c r="B816" s="141"/>
      <c r="C816" s="142"/>
      <c r="D816" s="142"/>
      <c r="E816" s="86"/>
      <c r="F816" s="86"/>
      <c r="G816" s="140"/>
      <c r="H816" s="140"/>
      <c r="I816" s="140"/>
      <c r="J816" s="140"/>
      <c r="K816" s="140"/>
      <c r="L816" s="140"/>
      <c r="M816" s="140"/>
      <c r="N816" s="140"/>
      <c r="O816" s="140"/>
      <c r="P816" s="140"/>
      <c r="Q816" s="140"/>
      <c r="R816" s="140"/>
      <c r="S816" s="140"/>
      <c r="T816" s="140"/>
      <c r="U816" s="140"/>
      <c r="V816" s="140"/>
      <c r="W816" s="140"/>
      <c r="X816" s="140"/>
      <c r="Y816" s="140"/>
      <c r="Z816" s="140"/>
    </row>
    <row r="817" spans="1:26" ht="15.75" customHeight="1">
      <c r="A817" s="142"/>
      <c r="B817" s="141"/>
      <c r="C817" s="142"/>
      <c r="D817" s="142"/>
      <c r="E817" s="86"/>
      <c r="F817" s="86"/>
      <c r="G817" s="140"/>
      <c r="H817" s="140"/>
      <c r="I817" s="140"/>
      <c r="J817" s="140"/>
      <c r="K817" s="140"/>
      <c r="L817" s="140"/>
      <c r="M817" s="140"/>
      <c r="N817" s="140"/>
      <c r="O817" s="140"/>
      <c r="P817" s="140"/>
      <c r="Q817" s="140"/>
      <c r="R817" s="140"/>
      <c r="S817" s="140"/>
      <c r="T817" s="140"/>
      <c r="U817" s="140"/>
      <c r="V817" s="140"/>
      <c r="W817" s="140"/>
      <c r="X817" s="140"/>
      <c r="Y817" s="140"/>
      <c r="Z817" s="140"/>
    </row>
    <row r="818" spans="1:26" ht="15.75" customHeight="1">
      <c r="A818" s="142"/>
      <c r="B818" s="141"/>
      <c r="C818" s="142"/>
      <c r="D818" s="142"/>
      <c r="E818" s="86"/>
      <c r="F818" s="86"/>
      <c r="G818" s="140"/>
      <c r="H818" s="140"/>
      <c r="I818" s="140"/>
      <c r="J818" s="140"/>
      <c r="K818" s="140"/>
      <c r="L818" s="140"/>
      <c r="M818" s="140"/>
      <c r="N818" s="140"/>
      <c r="O818" s="140"/>
      <c r="P818" s="140"/>
      <c r="Q818" s="140"/>
      <c r="R818" s="140"/>
      <c r="S818" s="140"/>
      <c r="T818" s="140"/>
      <c r="U818" s="140"/>
      <c r="V818" s="140"/>
      <c r="W818" s="140"/>
      <c r="X818" s="140"/>
      <c r="Y818" s="140"/>
      <c r="Z818" s="140"/>
    </row>
    <row r="819" spans="1:26" ht="15.75" customHeight="1">
      <c r="A819" s="142"/>
      <c r="B819" s="141"/>
      <c r="C819" s="142"/>
      <c r="D819" s="142"/>
      <c r="E819" s="86"/>
      <c r="F819" s="86"/>
      <c r="G819" s="140"/>
      <c r="H819" s="140"/>
      <c r="I819" s="140"/>
      <c r="J819" s="140"/>
      <c r="K819" s="140"/>
      <c r="L819" s="140"/>
      <c r="M819" s="140"/>
      <c r="N819" s="140"/>
      <c r="O819" s="140"/>
      <c r="P819" s="140"/>
      <c r="Q819" s="140"/>
      <c r="R819" s="140"/>
      <c r="S819" s="140"/>
      <c r="T819" s="140"/>
      <c r="U819" s="140"/>
      <c r="V819" s="140"/>
      <c r="W819" s="140"/>
      <c r="X819" s="140"/>
      <c r="Y819" s="140"/>
      <c r="Z819" s="140"/>
    </row>
    <row r="820" spans="1:26" ht="15.75" customHeight="1">
      <c r="A820" s="142"/>
      <c r="B820" s="141"/>
      <c r="C820" s="142"/>
      <c r="D820" s="142"/>
      <c r="E820" s="86"/>
      <c r="F820" s="86"/>
      <c r="G820" s="140"/>
      <c r="H820" s="140"/>
      <c r="I820" s="140"/>
      <c r="J820" s="140"/>
      <c r="K820" s="140"/>
      <c r="L820" s="140"/>
      <c r="M820" s="140"/>
      <c r="N820" s="140"/>
      <c r="O820" s="140"/>
      <c r="P820" s="140"/>
      <c r="Q820" s="140"/>
      <c r="R820" s="140"/>
      <c r="S820" s="140"/>
      <c r="T820" s="140"/>
      <c r="U820" s="140"/>
      <c r="V820" s="140"/>
      <c r="W820" s="140"/>
      <c r="X820" s="140"/>
      <c r="Y820" s="140"/>
      <c r="Z820" s="140"/>
    </row>
    <row r="821" spans="1:26" ht="15.75" customHeight="1">
      <c r="A821" s="142"/>
      <c r="B821" s="141"/>
      <c r="C821" s="142"/>
      <c r="D821" s="142"/>
      <c r="E821" s="86"/>
      <c r="F821" s="86"/>
      <c r="G821" s="140"/>
      <c r="H821" s="140"/>
      <c r="I821" s="140"/>
      <c r="J821" s="140"/>
      <c r="K821" s="140"/>
      <c r="L821" s="140"/>
      <c r="M821" s="140"/>
      <c r="N821" s="140"/>
      <c r="O821" s="140"/>
      <c r="P821" s="140"/>
      <c r="Q821" s="140"/>
      <c r="R821" s="140"/>
      <c r="S821" s="140"/>
      <c r="T821" s="140"/>
      <c r="U821" s="140"/>
      <c r="V821" s="140"/>
      <c r="W821" s="140"/>
      <c r="X821" s="140"/>
      <c r="Y821" s="140"/>
      <c r="Z821" s="140"/>
    </row>
    <row r="822" spans="1:26" ht="15.75" customHeight="1">
      <c r="A822" s="142"/>
      <c r="B822" s="141"/>
      <c r="C822" s="142"/>
      <c r="D822" s="142"/>
      <c r="E822" s="86"/>
      <c r="F822" s="86"/>
      <c r="G822" s="140"/>
      <c r="H822" s="140"/>
      <c r="I822" s="140"/>
      <c r="J822" s="140"/>
      <c r="K822" s="140"/>
      <c r="L822" s="140"/>
      <c r="M822" s="140"/>
      <c r="N822" s="140"/>
      <c r="O822" s="140"/>
      <c r="P822" s="140"/>
      <c r="Q822" s="140"/>
      <c r="R822" s="140"/>
      <c r="S822" s="140"/>
      <c r="T822" s="140"/>
      <c r="U822" s="140"/>
      <c r="V822" s="140"/>
      <c r="W822" s="140"/>
      <c r="X822" s="140"/>
      <c r="Y822" s="140"/>
      <c r="Z822" s="140"/>
    </row>
    <row r="823" spans="1:26" ht="15.75" customHeight="1">
      <c r="A823" s="142"/>
      <c r="B823" s="141"/>
      <c r="C823" s="142"/>
      <c r="D823" s="142"/>
      <c r="E823" s="86"/>
      <c r="F823" s="86"/>
      <c r="G823" s="140"/>
      <c r="H823" s="140"/>
      <c r="I823" s="140"/>
      <c r="J823" s="140"/>
      <c r="K823" s="140"/>
      <c r="L823" s="140"/>
      <c r="M823" s="140"/>
      <c r="N823" s="140"/>
      <c r="O823" s="140"/>
      <c r="P823" s="140"/>
      <c r="Q823" s="140"/>
      <c r="R823" s="140"/>
      <c r="S823" s="140"/>
      <c r="T823" s="140"/>
      <c r="U823" s="140"/>
      <c r="V823" s="140"/>
      <c r="W823" s="140"/>
      <c r="X823" s="140"/>
      <c r="Y823" s="140"/>
      <c r="Z823" s="140"/>
    </row>
    <row r="824" spans="1:26" ht="15.75" customHeight="1">
      <c r="A824" s="142"/>
      <c r="B824" s="141"/>
      <c r="C824" s="142"/>
      <c r="D824" s="142"/>
      <c r="E824" s="86"/>
      <c r="F824" s="86"/>
      <c r="G824" s="140"/>
      <c r="H824" s="140"/>
      <c r="I824" s="140"/>
      <c r="J824" s="140"/>
      <c r="K824" s="140"/>
      <c r="L824" s="140"/>
      <c r="M824" s="140"/>
      <c r="N824" s="140"/>
      <c r="O824" s="140"/>
      <c r="P824" s="140"/>
      <c r="Q824" s="140"/>
      <c r="R824" s="140"/>
      <c r="S824" s="140"/>
      <c r="T824" s="140"/>
      <c r="U824" s="140"/>
      <c r="V824" s="140"/>
      <c r="W824" s="140"/>
      <c r="X824" s="140"/>
      <c r="Y824" s="140"/>
      <c r="Z824" s="140"/>
    </row>
    <row r="825" spans="1:26" ht="15.75" customHeight="1">
      <c r="A825" s="142"/>
      <c r="B825" s="141"/>
      <c r="C825" s="142"/>
      <c r="D825" s="142"/>
      <c r="E825" s="86"/>
      <c r="F825" s="86"/>
      <c r="G825" s="140"/>
      <c r="H825" s="140"/>
      <c r="I825" s="140"/>
      <c r="J825" s="140"/>
      <c r="K825" s="140"/>
      <c r="L825" s="140"/>
      <c r="M825" s="140"/>
      <c r="N825" s="140"/>
      <c r="O825" s="140"/>
      <c r="P825" s="140"/>
      <c r="Q825" s="140"/>
      <c r="R825" s="140"/>
      <c r="S825" s="140"/>
      <c r="T825" s="140"/>
      <c r="U825" s="140"/>
      <c r="V825" s="140"/>
      <c r="W825" s="140"/>
      <c r="X825" s="140"/>
      <c r="Y825" s="140"/>
      <c r="Z825" s="140"/>
    </row>
    <row r="826" spans="1:26" ht="15.75" customHeight="1">
      <c r="A826" s="142"/>
      <c r="B826" s="141"/>
      <c r="C826" s="142"/>
      <c r="D826" s="142"/>
      <c r="E826" s="86"/>
      <c r="F826" s="86"/>
      <c r="G826" s="140"/>
      <c r="H826" s="140"/>
      <c r="I826" s="140"/>
      <c r="J826" s="140"/>
      <c r="K826" s="140"/>
      <c r="L826" s="140"/>
      <c r="M826" s="140"/>
      <c r="N826" s="140"/>
      <c r="O826" s="140"/>
      <c r="P826" s="140"/>
      <c r="Q826" s="140"/>
      <c r="R826" s="140"/>
      <c r="S826" s="140"/>
      <c r="T826" s="140"/>
      <c r="U826" s="140"/>
      <c r="V826" s="140"/>
      <c r="W826" s="140"/>
      <c r="X826" s="140"/>
      <c r="Y826" s="140"/>
      <c r="Z826" s="140"/>
    </row>
    <row r="827" spans="1:26" ht="15.75" customHeight="1">
      <c r="A827" s="142"/>
      <c r="B827" s="141"/>
      <c r="C827" s="142"/>
      <c r="D827" s="142"/>
      <c r="E827" s="86"/>
      <c r="F827" s="86"/>
      <c r="G827" s="140"/>
      <c r="H827" s="140"/>
      <c r="I827" s="140"/>
      <c r="J827" s="140"/>
      <c r="K827" s="140"/>
      <c r="L827" s="140"/>
      <c r="M827" s="140"/>
      <c r="N827" s="140"/>
      <c r="O827" s="140"/>
      <c r="P827" s="140"/>
      <c r="Q827" s="140"/>
      <c r="R827" s="140"/>
      <c r="S827" s="140"/>
      <c r="T827" s="140"/>
      <c r="U827" s="140"/>
      <c r="V827" s="140"/>
      <c r="W827" s="140"/>
      <c r="X827" s="140"/>
      <c r="Y827" s="140"/>
      <c r="Z827" s="140"/>
    </row>
    <row r="828" spans="1:26" ht="15.75" customHeight="1">
      <c r="A828" s="142"/>
      <c r="B828" s="141"/>
      <c r="C828" s="142"/>
      <c r="D828" s="142"/>
      <c r="E828" s="86"/>
      <c r="F828" s="86"/>
      <c r="G828" s="140"/>
      <c r="H828" s="140"/>
      <c r="I828" s="140"/>
      <c r="J828" s="140"/>
      <c r="K828" s="140"/>
      <c r="L828" s="140"/>
      <c r="M828" s="140"/>
      <c r="N828" s="140"/>
      <c r="O828" s="140"/>
      <c r="P828" s="140"/>
      <c r="Q828" s="140"/>
      <c r="R828" s="140"/>
      <c r="S828" s="140"/>
      <c r="T828" s="140"/>
      <c r="U828" s="140"/>
      <c r="V828" s="140"/>
      <c r="W828" s="140"/>
      <c r="X828" s="140"/>
      <c r="Y828" s="140"/>
      <c r="Z828" s="140"/>
    </row>
    <row r="829" spans="1:26" ht="15.75" customHeight="1">
      <c r="A829" s="142"/>
      <c r="B829" s="141"/>
      <c r="C829" s="142"/>
      <c r="D829" s="142"/>
      <c r="E829" s="86"/>
      <c r="F829" s="86"/>
      <c r="G829" s="140"/>
      <c r="H829" s="140"/>
      <c r="I829" s="140"/>
      <c r="J829" s="140"/>
      <c r="K829" s="140"/>
      <c r="L829" s="140"/>
      <c r="M829" s="140"/>
      <c r="N829" s="140"/>
      <c r="O829" s="140"/>
      <c r="P829" s="140"/>
      <c r="Q829" s="140"/>
      <c r="R829" s="140"/>
      <c r="S829" s="140"/>
      <c r="T829" s="140"/>
      <c r="U829" s="140"/>
      <c r="V829" s="140"/>
      <c r="W829" s="140"/>
      <c r="X829" s="140"/>
      <c r="Y829" s="140"/>
      <c r="Z829" s="140"/>
    </row>
    <row r="830" spans="1:26" ht="15.75" customHeight="1">
      <c r="A830" s="142"/>
      <c r="B830" s="141"/>
      <c r="C830" s="142"/>
      <c r="D830" s="142"/>
      <c r="E830" s="86"/>
      <c r="F830" s="86"/>
      <c r="G830" s="140"/>
      <c r="H830" s="140"/>
      <c r="I830" s="140"/>
      <c r="J830" s="140"/>
      <c r="K830" s="140"/>
      <c r="L830" s="140"/>
      <c r="M830" s="140"/>
      <c r="N830" s="140"/>
      <c r="O830" s="140"/>
      <c r="P830" s="140"/>
      <c r="Q830" s="140"/>
      <c r="R830" s="140"/>
      <c r="S830" s="140"/>
      <c r="T830" s="140"/>
      <c r="U830" s="140"/>
      <c r="V830" s="140"/>
      <c r="W830" s="140"/>
      <c r="X830" s="140"/>
      <c r="Y830" s="140"/>
      <c r="Z830" s="140"/>
    </row>
    <row r="831" spans="1:26" ht="15.75" customHeight="1">
      <c r="A831" s="142"/>
      <c r="B831" s="141"/>
      <c r="C831" s="142"/>
      <c r="D831" s="142"/>
      <c r="E831" s="86"/>
      <c r="F831" s="86"/>
      <c r="G831" s="140"/>
      <c r="H831" s="140"/>
      <c r="I831" s="140"/>
      <c r="J831" s="140"/>
      <c r="K831" s="140"/>
      <c r="L831" s="140"/>
      <c r="M831" s="140"/>
      <c r="N831" s="140"/>
      <c r="O831" s="140"/>
      <c r="P831" s="140"/>
      <c r="Q831" s="140"/>
      <c r="R831" s="140"/>
      <c r="S831" s="140"/>
      <c r="T831" s="140"/>
      <c r="U831" s="140"/>
      <c r="V831" s="140"/>
      <c r="W831" s="140"/>
      <c r="X831" s="140"/>
      <c r="Y831" s="140"/>
      <c r="Z831" s="140"/>
    </row>
    <row r="832" spans="1:26" ht="15.75" customHeight="1">
      <c r="A832" s="142"/>
      <c r="B832" s="141"/>
      <c r="C832" s="142"/>
      <c r="D832" s="142"/>
      <c r="E832" s="86"/>
      <c r="F832" s="86"/>
      <c r="G832" s="140"/>
      <c r="H832" s="140"/>
      <c r="I832" s="140"/>
      <c r="J832" s="140"/>
      <c r="K832" s="140"/>
      <c r="L832" s="140"/>
      <c r="M832" s="140"/>
      <c r="N832" s="140"/>
      <c r="O832" s="140"/>
      <c r="P832" s="140"/>
      <c r="Q832" s="140"/>
      <c r="R832" s="140"/>
      <c r="S832" s="140"/>
      <c r="T832" s="140"/>
      <c r="U832" s="140"/>
      <c r="V832" s="140"/>
      <c r="W832" s="140"/>
      <c r="X832" s="140"/>
      <c r="Y832" s="140"/>
      <c r="Z832" s="140"/>
    </row>
    <row r="833" spans="1:26" ht="15.75" customHeight="1">
      <c r="A833" s="142"/>
      <c r="B833" s="141"/>
      <c r="C833" s="142"/>
      <c r="D833" s="142"/>
      <c r="E833" s="86"/>
      <c r="F833" s="86"/>
      <c r="G833" s="140"/>
      <c r="H833" s="140"/>
      <c r="I833" s="140"/>
      <c r="J833" s="140"/>
      <c r="K833" s="140"/>
      <c r="L833" s="140"/>
      <c r="M833" s="140"/>
      <c r="N833" s="140"/>
      <c r="O833" s="140"/>
      <c r="P833" s="140"/>
      <c r="Q833" s="140"/>
      <c r="R833" s="140"/>
      <c r="S833" s="140"/>
      <c r="T833" s="140"/>
      <c r="U833" s="140"/>
      <c r="V833" s="140"/>
      <c r="W833" s="140"/>
      <c r="X833" s="140"/>
      <c r="Y833" s="140"/>
      <c r="Z833" s="140"/>
    </row>
    <row r="834" spans="1:26" ht="15.75" customHeight="1">
      <c r="A834" s="142"/>
      <c r="B834" s="141"/>
      <c r="C834" s="142"/>
      <c r="D834" s="142"/>
      <c r="E834" s="86"/>
      <c r="F834" s="86"/>
      <c r="G834" s="140"/>
      <c r="H834" s="140"/>
      <c r="I834" s="140"/>
      <c r="J834" s="140"/>
      <c r="K834" s="140"/>
      <c r="L834" s="140"/>
      <c r="M834" s="140"/>
      <c r="N834" s="140"/>
      <c r="O834" s="140"/>
      <c r="P834" s="140"/>
      <c r="Q834" s="140"/>
      <c r="R834" s="140"/>
      <c r="S834" s="140"/>
      <c r="T834" s="140"/>
      <c r="U834" s="140"/>
      <c r="V834" s="140"/>
      <c r="W834" s="140"/>
      <c r="X834" s="140"/>
      <c r="Y834" s="140"/>
      <c r="Z834" s="140"/>
    </row>
    <row r="835" spans="1:26" ht="15.75" customHeight="1">
      <c r="A835" s="142"/>
      <c r="B835" s="141"/>
      <c r="C835" s="142"/>
      <c r="D835" s="142"/>
      <c r="E835" s="86"/>
      <c r="F835" s="86"/>
      <c r="G835" s="140"/>
      <c r="H835" s="140"/>
      <c r="I835" s="140"/>
      <c r="J835" s="140"/>
      <c r="K835" s="140"/>
      <c r="L835" s="140"/>
      <c r="M835" s="140"/>
      <c r="N835" s="140"/>
      <c r="O835" s="140"/>
      <c r="P835" s="140"/>
      <c r="Q835" s="140"/>
      <c r="R835" s="140"/>
      <c r="S835" s="140"/>
      <c r="T835" s="140"/>
      <c r="U835" s="140"/>
      <c r="V835" s="140"/>
      <c r="W835" s="140"/>
      <c r="X835" s="140"/>
      <c r="Y835" s="140"/>
      <c r="Z835" s="140"/>
    </row>
    <row r="836" spans="1:26" ht="15.75" customHeight="1">
      <c r="A836" s="142"/>
      <c r="B836" s="141"/>
      <c r="C836" s="142"/>
      <c r="D836" s="142"/>
      <c r="E836" s="86"/>
      <c r="F836" s="86"/>
      <c r="G836" s="140"/>
      <c r="H836" s="140"/>
      <c r="I836" s="140"/>
      <c r="J836" s="140"/>
      <c r="K836" s="140"/>
      <c r="L836" s="140"/>
      <c r="M836" s="140"/>
      <c r="N836" s="140"/>
      <c r="O836" s="140"/>
      <c r="P836" s="140"/>
      <c r="Q836" s="140"/>
      <c r="R836" s="140"/>
      <c r="S836" s="140"/>
      <c r="T836" s="140"/>
      <c r="U836" s="140"/>
      <c r="V836" s="140"/>
      <c r="W836" s="140"/>
      <c r="X836" s="140"/>
      <c r="Y836" s="140"/>
      <c r="Z836" s="140"/>
    </row>
    <row r="837" spans="1:26" ht="15.75" customHeight="1">
      <c r="A837" s="142"/>
      <c r="B837" s="141"/>
      <c r="C837" s="142"/>
      <c r="D837" s="142"/>
      <c r="E837" s="86"/>
      <c r="F837" s="86"/>
      <c r="G837" s="140"/>
      <c r="H837" s="140"/>
      <c r="I837" s="140"/>
      <c r="J837" s="140"/>
      <c r="K837" s="140"/>
      <c r="L837" s="140"/>
      <c r="M837" s="140"/>
      <c r="N837" s="140"/>
      <c r="O837" s="140"/>
      <c r="P837" s="140"/>
      <c r="Q837" s="140"/>
      <c r="R837" s="140"/>
      <c r="S837" s="140"/>
      <c r="T837" s="140"/>
      <c r="U837" s="140"/>
      <c r="V837" s="140"/>
      <c r="W837" s="140"/>
      <c r="X837" s="140"/>
      <c r="Y837" s="140"/>
      <c r="Z837" s="140"/>
    </row>
    <row r="838" spans="1:26" ht="15.75" customHeight="1">
      <c r="A838" s="142"/>
      <c r="B838" s="141"/>
      <c r="C838" s="142"/>
      <c r="D838" s="142"/>
      <c r="E838" s="86"/>
      <c r="F838" s="86"/>
      <c r="G838" s="140"/>
      <c r="H838" s="140"/>
      <c r="I838" s="140"/>
      <c r="J838" s="140"/>
      <c r="K838" s="140"/>
      <c r="L838" s="140"/>
      <c r="M838" s="140"/>
      <c r="N838" s="140"/>
      <c r="O838" s="140"/>
      <c r="P838" s="140"/>
      <c r="Q838" s="140"/>
      <c r="R838" s="140"/>
      <c r="S838" s="140"/>
      <c r="T838" s="140"/>
      <c r="U838" s="140"/>
      <c r="V838" s="140"/>
      <c r="W838" s="140"/>
      <c r="X838" s="140"/>
      <c r="Y838" s="140"/>
      <c r="Z838" s="140"/>
    </row>
    <row r="839" spans="1:26" ht="15.75" customHeight="1">
      <c r="A839" s="142"/>
      <c r="B839" s="141"/>
      <c r="C839" s="142"/>
      <c r="D839" s="142"/>
      <c r="E839" s="86"/>
      <c r="F839" s="86"/>
      <c r="G839" s="140"/>
      <c r="H839" s="140"/>
      <c r="I839" s="140"/>
      <c r="J839" s="140"/>
      <c r="K839" s="140"/>
      <c r="L839" s="140"/>
      <c r="M839" s="140"/>
      <c r="N839" s="140"/>
      <c r="O839" s="140"/>
      <c r="P839" s="140"/>
      <c r="Q839" s="140"/>
      <c r="R839" s="140"/>
      <c r="S839" s="140"/>
      <c r="T839" s="140"/>
      <c r="U839" s="140"/>
      <c r="V839" s="140"/>
      <c r="W839" s="140"/>
      <c r="X839" s="140"/>
      <c r="Y839" s="140"/>
      <c r="Z839" s="140"/>
    </row>
    <row r="840" spans="1:26" ht="15.75" customHeight="1">
      <c r="A840" s="142"/>
      <c r="B840" s="141"/>
      <c r="C840" s="142"/>
      <c r="D840" s="142"/>
      <c r="E840" s="86"/>
      <c r="F840" s="86"/>
      <c r="G840" s="140"/>
      <c r="H840" s="140"/>
      <c r="I840" s="140"/>
      <c r="J840" s="140"/>
      <c r="K840" s="140"/>
      <c r="L840" s="140"/>
      <c r="M840" s="140"/>
      <c r="N840" s="140"/>
      <c r="O840" s="140"/>
      <c r="P840" s="140"/>
      <c r="Q840" s="140"/>
      <c r="R840" s="140"/>
      <c r="S840" s="140"/>
      <c r="T840" s="140"/>
      <c r="U840" s="140"/>
      <c r="V840" s="140"/>
      <c r="W840" s="140"/>
      <c r="X840" s="140"/>
      <c r="Y840" s="140"/>
      <c r="Z840" s="140"/>
    </row>
    <row r="841" spans="1:26" ht="15.75" customHeight="1">
      <c r="A841" s="142"/>
      <c r="B841" s="141"/>
      <c r="C841" s="142"/>
      <c r="D841" s="142"/>
      <c r="E841" s="86"/>
      <c r="F841" s="86"/>
      <c r="G841" s="140"/>
      <c r="H841" s="140"/>
      <c r="I841" s="140"/>
      <c r="J841" s="140"/>
      <c r="K841" s="140"/>
      <c r="L841" s="140"/>
      <c r="M841" s="140"/>
      <c r="N841" s="140"/>
      <c r="O841" s="140"/>
      <c r="P841" s="140"/>
      <c r="Q841" s="140"/>
      <c r="R841" s="140"/>
      <c r="S841" s="140"/>
      <c r="T841" s="140"/>
      <c r="U841" s="140"/>
      <c r="V841" s="140"/>
      <c r="W841" s="140"/>
      <c r="X841" s="140"/>
      <c r="Y841" s="140"/>
      <c r="Z841" s="140"/>
    </row>
    <row r="842" spans="1:26" ht="15.75" customHeight="1">
      <c r="A842" s="142"/>
      <c r="B842" s="141"/>
      <c r="C842" s="142"/>
      <c r="D842" s="142"/>
      <c r="E842" s="86"/>
      <c r="F842" s="86"/>
      <c r="G842" s="140"/>
      <c r="H842" s="140"/>
      <c r="I842" s="140"/>
      <c r="J842" s="140"/>
      <c r="K842" s="140"/>
      <c r="L842" s="140"/>
      <c r="M842" s="140"/>
      <c r="N842" s="140"/>
      <c r="O842" s="140"/>
      <c r="P842" s="140"/>
      <c r="Q842" s="140"/>
      <c r="R842" s="140"/>
      <c r="S842" s="140"/>
      <c r="T842" s="140"/>
      <c r="U842" s="140"/>
      <c r="V842" s="140"/>
      <c r="W842" s="140"/>
      <c r="X842" s="140"/>
      <c r="Y842" s="140"/>
      <c r="Z842" s="140"/>
    </row>
    <row r="843" spans="1:26" ht="15.75" customHeight="1">
      <c r="A843" s="142"/>
      <c r="B843" s="141"/>
      <c r="C843" s="142"/>
      <c r="D843" s="142"/>
      <c r="E843" s="86"/>
      <c r="F843" s="86"/>
      <c r="G843" s="140"/>
      <c r="H843" s="140"/>
      <c r="I843" s="140"/>
      <c r="J843" s="140"/>
      <c r="K843" s="140"/>
      <c r="L843" s="140"/>
      <c r="M843" s="140"/>
      <c r="N843" s="140"/>
      <c r="O843" s="140"/>
      <c r="P843" s="140"/>
      <c r="Q843" s="140"/>
      <c r="R843" s="140"/>
      <c r="S843" s="140"/>
      <c r="T843" s="140"/>
      <c r="U843" s="140"/>
      <c r="V843" s="140"/>
      <c r="W843" s="140"/>
      <c r="X843" s="140"/>
      <c r="Y843" s="140"/>
      <c r="Z843" s="140"/>
    </row>
    <row r="844" spans="1:26" ht="15.75" customHeight="1">
      <c r="A844" s="142"/>
      <c r="B844" s="141"/>
      <c r="C844" s="142"/>
      <c r="D844" s="142"/>
      <c r="E844" s="86"/>
      <c r="F844" s="86"/>
      <c r="G844" s="140"/>
      <c r="H844" s="140"/>
      <c r="I844" s="140"/>
      <c r="J844" s="140"/>
      <c r="K844" s="140"/>
      <c r="L844" s="140"/>
      <c r="M844" s="140"/>
      <c r="N844" s="140"/>
      <c r="O844" s="140"/>
      <c r="P844" s="140"/>
      <c r="Q844" s="140"/>
      <c r="R844" s="140"/>
      <c r="S844" s="140"/>
      <c r="T844" s="140"/>
      <c r="U844" s="140"/>
      <c r="V844" s="140"/>
      <c r="W844" s="140"/>
      <c r="X844" s="140"/>
      <c r="Y844" s="140"/>
      <c r="Z844" s="140"/>
    </row>
    <row r="845" spans="1:26" ht="15.75" customHeight="1">
      <c r="A845" s="142"/>
      <c r="B845" s="141"/>
      <c r="C845" s="142"/>
      <c r="D845" s="142"/>
      <c r="E845" s="86"/>
      <c r="F845" s="86"/>
      <c r="G845" s="140"/>
      <c r="H845" s="140"/>
      <c r="I845" s="140"/>
      <c r="J845" s="140"/>
      <c r="K845" s="140"/>
      <c r="L845" s="140"/>
      <c r="M845" s="140"/>
      <c r="N845" s="140"/>
      <c r="O845" s="140"/>
      <c r="P845" s="140"/>
      <c r="Q845" s="140"/>
      <c r="R845" s="140"/>
      <c r="S845" s="140"/>
      <c r="T845" s="140"/>
      <c r="U845" s="140"/>
      <c r="V845" s="140"/>
      <c r="W845" s="140"/>
      <c r="X845" s="140"/>
      <c r="Y845" s="140"/>
      <c r="Z845" s="140"/>
    </row>
    <row r="846" spans="1:26" ht="15.75" customHeight="1">
      <c r="A846" s="142"/>
      <c r="B846" s="141"/>
      <c r="C846" s="142"/>
      <c r="D846" s="142"/>
      <c r="E846" s="86"/>
      <c r="F846" s="86"/>
      <c r="G846" s="140"/>
      <c r="H846" s="140"/>
      <c r="I846" s="140"/>
      <c r="J846" s="140"/>
      <c r="K846" s="140"/>
      <c r="L846" s="140"/>
      <c r="M846" s="140"/>
      <c r="N846" s="140"/>
      <c r="O846" s="140"/>
      <c r="P846" s="140"/>
      <c r="Q846" s="140"/>
      <c r="R846" s="140"/>
      <c r="S846" s="140"/>
      <c r="T846" s="140"/>
      <c r="U846" s="140"/>
      <c r="V846" s="140"/>
      <c r="W846" s="140"/>
      <c r="X846" s="140"/>
      <c r="Y846" s="140"/>
      <c r="Z846" s="140"/>
    </row>
    <row r="847" spans="1:26" ht="15.75" customHeight="1">
      <c r="A847" s="142"/>
      <c r="B847" s="141"/>
      <c r="C847" s="142"/>
      <c r="D847" s="142"/>
      <c r="E847" s="86"/>
      <c r="F847" s="86"/>
      <c r="G847" s="140"/>
      <c r="H847" s="140"/>
      <c r="I847" s="140"/>
      <c r="J847" s="140"/>
      <c r="K847" s="140"/>
      <c r="L847" s="140"/>
      <c r="M847" s="140"/>
      <c r="N847" s="140"/>
      <c r="O847" s="140"/>
      <c r="P847" s="140"/>
      <c r="Q847" s="140"/>
      <c r="R847" s="140"/>
      <c r="S847" s="140"/>
      <c r="T847" s="140"/>
      <c r="U847" s="140"/>
      <c r="V847" s="140"/>
      <c r="W847" s="140"/>
      <c r="X847" s="140"/>
      <c r="Y847" s="140"/>
      <c r="Z847" s="140"/>
    </row>
    <row r="848" spans="1:26" ht="15.75" customHeight="1">
      <c r="A848" s="142"/>
      <c r="B848" s="141"/>
      <c r="C848" s="142"/>
      <c r="D848" s="142"/>
      <c r="E848" s="86"/>
      <c r="F848" s="86"/>
      <c r="G848" s="140"/>
      <c r="H848" s="140"/>
      <c r="I848" s="140"/>
      <c r="J848" s="140"/>
      <c r="K848" s="140"/>
      <c r="L848" s="140"/>
      <c r="M848" s="140"/>
      <c r="N848" s="140"/>
      <c r="O848" s="140"/>
      <c r="P848" s="140"/>
      <c r="Q848" s="140"/>
      <c r="R848" s="140"/>
      <c r="S848" s="140"/>
      <c r="T848" s="140"/>
      <c r="U848" s="140"/>
      <c r="V848" s="140"/>
      <c r="W848" s="140"/>
      <c r="X848" s="140"/>
      <c r="Y848" s="140"/>
      <c r="Z848" s="140"/>
    </row>
    <row r="849" spans="1:26" ht="15.75" customHeight="1">
      <c r="A849" s="142"/>
      <c r="B849" s="141"/>
      <c r="C849" s="142"/>
      <c r="D849" s="142"/>
      <c r="E849" s="86"/>
      <c r="F849" s="86"/>
      <c r="G849" s="140"/>
      <c r="H849" s="140"/>
      <c r="I849" s="140"/>
      <c r="J849" s="140"/>
      <c r="K849" s="140"/>
      <c r="L849" s="140"/>
      <c r="M849" s="140"/>
      <c r="N849" s="140"/>
      <c r="O849" s="140"/>
      <c r="P849" s="140"/>
      <c r="Q849" s="140"/>
      <c r="R849" s="140"/>
      <c r="S849" s="140"/>
      <c r="T849" s="140"/>
      <c r="U849" s="140"/>
      <c r="V849" s="140"/>
      <c r="W849" s="140"/>
      <c r="X849" s="140"/>
      <c r="Y849" s="140"/>
      <c r="Z849" s="140"/>
    </row>
    <row r="850" spans="1:26" ht="15.75" customHeight="1">
      <c r="A850" s="142"/>
      <c r="B850" s="141"/>
      <c r="C850" s="142"/>
      <c r="D850" s="142"/>
      <c r="E850" s="86"/>
      <c r="F850" s="86"/>
      <c r="G850" s="140"/>
      <c r="H850" s="140"/>
      <c r="I850" s="140"/>
      <c r="J850" s="140"/>
      <c r="K850" s="140"/>
      <c r="L850" s="140"/>
      <c r="M850" s="140"/>
      <c r="N850" s="140"/>
      <c r="O850" s="140"/>
      <c r="P850" s="140"/>
      <c r="Q850" s="140"/>
      <c r="R850" s="140"/>
      <c r="S850" s="140"/>
      <c r="T850" s="140"/>
      <c r="U850" s="140"/>
      <c r="V850" s="140"/>
      <c r="W850" s="140"/>
      <c r="X850" s="140"/>
      <c r="Y850" s="140"/>
      <c r="Z850" s="140"/>
    </row>
    <row r="851" spans="1:26" ht="15.75" customHeight="1">
      <c r="A851" s="142"/>
      <c r="B851" s="141"/>
      <c r="C851" s="142"/>
      <c r="D851" s="142"/>
      <c r="E851" s="86"/>
      <c r="F851" s="86"/>
      <c r="G851" s="140"/>
      <c r="H851" s="140"/>
      <c r="I851" s="140"/>
      <c r="J851" s="140"/>
      <c r="K851" s="140"/>
      <c r="L851" s="140"/>
      <c r="M851" s="140"/>
      <c r="N851" s="140"/>
      <c r="O851" s="140"/>
      <c r="P851" s="140"/>
      <c r="Q851" s="140"/>
      <c r="R851" s="140"/>
      <c r="S851" s="140"/>
      <c r="T851" s="140"/>
      <c r="U851" s="140"/>
      <c r="V851" s="140"/>
      <c r="W851" s="140"/>
      <c r="X851" s="140"/>
      <c r="Y851" s="140"/>
      <c r="Z851" s="140"/>
    </row>
    <row r="852" spans="1:26" ht="15.75" customHeight="1">
      <c r="A852" s="142"/>
      <c r="B852" s="141"/>
      <c r="C852" s="142"/>
      <c r="D852" s="142"/>
      <c r="E852" s="86"/>
      <c r="F852" s="86"/>
      <c r="G852" s="140"/>
      <c r="H852" s="140"/>
      <c r="I852" s="140"/>
      <c r="J852" s="140"/>
      <c r="K852" s="140"/>
      <c r="L852" s="140"/>
      <c r="M852" s="140"/>
      <c r="N852" s="140"/>
      <c r="O852" s="140"/>
      <c r="P852" s="140"/>
      <c r="Q852" s="140"/>
      <c r="R852" s="140"/>
      <c r="S852" s="140"/>
      <c r="T852" s="140"/>
      <c r="U852" s="140"/>
      <c r="V852" s="140"/>
      <c r="W852" s="140"/>
      <c r="X852" s="140"/>
      <c r="Y852" s="140"/>
      <c r="Z852" s="140"/>
    </row>
    <row r="853" spans="1:26" ht="15.75" customHeight="1">
      <c r="A853" s="142"/>
      <c r="B853" s="141"/>
      <c r="C853" s="142"/>
      <c r="D853" s="142"/>
      <c r="E853" s="86"/>
      <c r="F853" s="86"/>
      <c r="G853" s="140"/>
      <c r="H853" s="140"/>
      <c r="I853" s="140"/>
      <c r="J853" s="140"/>
      <c r="K853" s="140"/>
      <c r="L853" s="140"/>
      <c r="M853" s="140"/>
      <c r="N853" s="140"/>
      <c r="O853" s="140"/>
      <c r="P853" s="140"/>
      <c r="Q853" s="140"/>
      <c r="R853" s="140"/>
      <c r="S853" s="140"/>
      <c r="T853" s="140"/>
      <c r="U853" s="140"/>
      <c r="V853" s="140"/>
      <c r="W853" s="140"/>
      <c r="X853" s="140"/>
      <c r="Y853" s="140"/>
      <c r="Z853" s="140"/>
    </row>
    <row r="854" spans="1:26" ht="15.75" customHeight="1">
      <c r="A854" s="142"/>
      <c r="B854" s="141"/>
      <c r="C854" s="142"/>
      <c r="D854" s="142"/>
      <c r="E854" s="86"/>
      <c r="F854" s="86"/>
      <c r="G854" s="140"/>
      <c r="H854" s="140"/>
      <c r="I854" s="140"/>
      <c r="J854" s="140"/>
      <c r="K854" s="140"/>
      <c r="L854" s="140"/>
      <c r="M854" s="140"/>
      <c r="N854" s="140"/>
      <c r="O854" s="140"/>
      <c r="P854" s="140"/>
      <c r="Q854" s="140"/>
      <c r="R854" s="140"/>
      <c r="S854" s="140"/>
      <c r="T854" s="140"/>
      <c r="U854" s="140"/>
      <c r="V854" s="140"/>
      <c r="W854" s="140"/>
      <c r="X854" s="140"/>
      <c r="Y854" s="140"/>
      <c r="Z854" s="140"/>
    </row>
    <row r="855" spans="1:26" ht="15.75" customHeight="1">
      <c r="A855" s="142"/>
      <c r="B855" s="141"/>
      <c r="C855" s="142"/>
      <c r="D855" s="142"/>
      <c r="E855" s="86"/>
      <c r="F855" s="86"/>
      <c r="G855" s="140"/>
      <c r="H855" s="140"/>
      <c r="I855" s="140"/>
      <c r="J855" s="140"/>
      <c r="K855" s="140"/>
      <c r="L855" s="140"/>
      <c r="M855" s="140"/>
      <c r="N855" s="140"/>
      <c r="O855" s="140"/>
      <c r="P855" s="140"/>
      <c r="Q855" s="140"/>
      <c r="R855" s="140"/>
      <c r="S855" s="140"/>
      <c r="T855" s="140"/>
      <c r="U855" s="140"/>
      <c r="V855" s="140"/>
      <c r="W855" s="140"/>
      <c r="X855" s="140"/>
      <c r="Y855" s="140"/>
      <c r="Z855" s="140"/>
    </row>
    <row r="856" spans="1:26" ht="15.75" customHeight="1">
      <c r="A856" s="142"/>
      <c r="B856" s="141"/>
      <c r="C856" s="142"/>
      <c r="D856" s="142"/>
      <c r="E856" s="86"/>
      <c r="F856" s="86"/>
      <c r="G856" s="140"/>
      <c r="H856" s="140"/>
      <c r="I856" s="140"/>
      <c r="J856" s="140"/>
      <c r="K856" s="140"/>
      <c r="L856" s="140"/>
      <c r="M856" s="140"/>
      <c r="N856" s="140"/>
      <c r="O856" s="140"/>
      <c r="P856" s="140"/>
      <c r="Q856" s="140"/>
      <c r="R856" s="140"/>
      <c r="S856" s="140"/>
      <c r="T856" s="140"/>
      <c r="U856" s="140"/>
      <c r="V856" s="140"/>
      <c r="W856" s="140"/>
      <c r="X856" s="140"/>
      <c r="Y856" s="140"/>
      <c r="Z856" s="140"/>
    </row>
    <row r="857" spans="1:26" ht="15.75" customHeight="1">
      <c r="A857" s="142"/>
      <c r="B857" s="141"/>
      <c r="C857" s="142"/>
      <c r="D857" s="142"/>
      <c r="E857" s="86"/>
      <c r="F857" s="86"/>
      <c r="G857" s="140"/>
      <c r="H857" s="140"/>
      <c r="I857" s="140"/>
      <c r="J857" s="140"/>
      <c r="K857" s="140"/>
      <c r="L857" s="140"/>
      <c r="M857" s="140"/>
      <c r="N857" s="140"/>
      <c r="O857" s="140"/>
      <c r="P857" s="140"/>
      <c r="Q857" s="140"/>
      <c r="R857" s="140"/>
      <c r="S857" s="140"/>
      <c r="T857" s="140"/>
      <c r="U857" s="140"/>
      <c r="V857" s="140"/>
      <c r="W857" s="140"/>
      <c r="X857" s="140"/>
      <c r="Y857" s="140"/>
      <c r="Z857" s="140"/>
    </row>
    <row r="858" spans="1:26" ht="15.75" customHeight="1">
      <c r="A858" s="142"/>
      <c r="B858" s="141"/>
      <c r="C858" s="142"/>
      <c r="D858" s="142"/>
      <c r="E858" s="86"/>
      <c r="F858" s="86"/>
      <c r="G858" s="140"/>
      <c r="H858" s="140"/>
      <c r="I858" s="140"/>
      <c r="J858" s="140"/>
      <c r="K858" s="140"/>
      <c r="L858" s="140"/>
      <c r="M858" s="140"/>
      <c r="N858" s="140"/>
      <c r="O858" s="140"/>
      <c r="P858" s="140"/>
      <c r="Q858" s="140"/>
      <c r="R858" s="140"/>
      <c r="S858" s="140"/>
      <c r="T858" s="140"/>
      <c r="U858" s="140"/>
      <c r="V858" s="140"/>
      <c r="W858" s="140"/>
      <c r="X858" s="140"/>
      <c r="Y858" s="140"/>
      <c r="Z858" s="140"/>
    </row>
    <row r="859" spans="1:26" ht="15.75" customHeight="1">
      <c r="A859" s="142"/>
      <c r="B859" s="141"/>
      <c r="C859" s="142"/>
      <c r="D859" s="142"/>
      <c r="E859" s="86"/>
      <c r="F859" s="86"/>
      <c r="G859" s="140"/>
      <c r="H859" s="140"/>
      <c r="I859" s="140"/>
      <c r="J859" s="140"/>
      <c r="K859" s="140"/>
      <c r="L859" s="140"/>
      <c r="M859" s="140"/>
      <c r="N859" s="140"/>
      <c r="O859" s="140"/>
      <c r="P859" s="140"/>
      <c r="Q859" s="140"/>
      <c r="R859" s="140"/>
      <c r="S859" s="140"/>
      <c r="T859" s="140"/>
      <c r="U859" s="140"/>
      <c r="V859" s="140"/>
      <c r="W859" s="140"/>
      <c r="X859" s="140"/>
      <c r="Y859" s="140"/>
      <c r="Z859" s="140"/>
    </row>
    <row r="860" spans="1:26" ht="15.75" customHeight="1">
      <c r="A860" s="142"/>
      <c r="B860" s="141"/>
      <c r="C860" s="142"/>
      <c r="D860" s="142"/>
      <c r="E860" s="86"/>
      <c r="F860" s="86"/>
      <c r="G860" s="140"/>
      <c r="H860" s="140"/>
      <c r="I860" s="140"/>
      <c r="J860" s="140"/>
      <c r="K860" s="140"/>
      <c r="L860" s="140"/>
      <c r="M860" s="140"/>
      <c r="N860" s="140"/>
      <c r="O860" s="140"/>
      <c r="P860" s="140"/>
      <c r="Q860" s="140"/>
      <c r="R860" s="140"/>
      <c r="S860" s="140"/>
      <c r="T860" s="140"/>
      <c r="U860" s="140"/>
      <c r="V860" s="140"/>
      <c r="W860" s="140"/>
      <c r="X860" s="140"/>
      <c r="Y860" s="140"/>
      <c r="Z860" s="140"/>
    </row>
    <row r="861" spans="1:26" ht="15.75" customHeight="1">
      <c r="A861" s="142"/>
      <c r="B861" s="141"/>
      <c r="C861" s="142"/>
      <c r="D861" s="142"/>
      <c r="E861" s="86"/>
      <c r="F861" s="86"/>
      <c r="G861" s="140"/>
      <c r="H861" s="140"/>
      <c r="I861" s="140"/>
      <c r="J861" s="140"/>
      <c r="K861" s="140"/>
      <c r="L861" s="140"/>
      <c r="M861" s="140"/>
      <c r="N861" s="140"/>
      <c r="O861" s="140"/>
      <c r="P861" s="140"/>
      <c r="Q861" s="140"/>
      <c r="R861" s="140"/>
      <c r="S861" s="140"/>
      <c r="T861" s="140"/>
      <c r="U861" s="140"/>
      <c r="V861" s="140"/>
      <c r="W861" s="140"/>
      <c r="X861" s="140"/>
      <c r="Y861" s="140"/>
      <c r="Z861" s="140"/>
    </row>
    <row r="862" spans="1:26" ht="15.75" customHeight="1">
      <c r="A862" s="142"/>
      <c r="B862" s="141"/>
      <c r="C862" s="142"/>
      <c r="D862" s="142"/>
      <c r="E862" s="86"/>
      <c r="F862" s="86"/>
      <c r="G862" s="140"/>
      <c r="H862" s="140"/>
      <c r="I862" s="140"/>
      <c r="J862" s="140"/>
      <c r="K862" s="140"/>
      <c r="L862" s="140"/>
      <c r="M862" s="140"/>
      <c r="N862" s="140"/>
      <c r="O862" s="140"/>
      <c r="P862" s="140"/>
      <c r="Q862" s="140"/>
      <c r="R862" s="140"/>
      <c r="S862" s="140"/>
      <c r="T862" s="140"/>
      <c r="U862" s="140"/>
      <c r="V862" s="140"/>
      <c r="W862" s="140"/>
      <c r="X862" s="140"/>
      <c r="Y862" s="140"/>
      <c r="Z862" s="140"/>
    </row>
    <row r="863" spans="1:26" ht="15.75" customHeight="1">
      <c r="A863" s="142"/>
      <c r="B863" s="141"/>
      <c r="C863" s="142"/>
      <c r="D863" s="142"/>
      <c r="E863" s="86"/>
      <c r="F863" s="86"/>
      <c r="G863" s="140"/>
      <c r="H863" s="140"/>
      <c r="I863" s="140"/>
      <c r="J863" s="140"/>
      <c r="K863" s="140"/>
      <c r="L863" s="140"/>
      <c r="M863" s="140"/>
      <c r="N863" s="140"/>
      <c r="O863" s="140"/>
      <c r="P863" s="140"/>
      <c r="Q863" s="140"/>
      <c r="R863" s="140"/>
      <c r="S863" s="140"/>
      <c r="T863" s="140"/>
      <c r="U863" s="140"/>
      <c r="V863" s="140"/>
      <c r="W863" s="140"/>
      <c r="X863" s="140"/>
      <c r="Y863" s="140"/>
      <c r="Z863" s="140"/>
    </row>
    <row r="864" spans="1:26" ht="15.75" customHeight="1">
      <c r="A864" s="142"/>
      <c r="B864" s="141"/>
      <c r="C864" s="142"/>
      <c r="D864" s="142"/>
      <c r="E864" s="86"/>
      <c r="F864" s="86"/>
      <c r="G864" s="140"/>
      <c r="H864" s="140"/>
      <c r="I864" s="140"/>
      <c r="J864" s="140"/>
      <c r="K864" s="140"/>
      <c r="L864" s="140"/>
      <c r="M864" s="140"/>
      <c r="N864" s="140"/>
      <c r="O864" s="140"/>
      <c r="P864" s="140"/>
      <c r="Q864" s="140"/>
      <c r="R864" s="140"/>
      <c r="S864" s="140"/>
      <c r="T864" s="140"/>
      <c r="U864" s="140"/>
      <c r="V864" s="140"/>
      <c r="W864" s="140"/>
      <c r="X864" s="140"/>
      <c r="Y864" s="140"/>
      <c r="Z864" s="140"/>
    </row>
    <row r="865" spans="1:26" ht="15.75" customHeight="1">
      <c r="A865" s="142"/>
      <c r="B865" s="141"/>
      <c r="C865" s="142"/>
      <c r="D865" s="142"/>
      <c r="E865" s="86"/>
      <c r="F865" s="86"/>
      <c r="G865" s="140"/>
      <c r="H865" s="140"/>
      <c r="I865" s="140"/>
      <c r="J865" s="140"/>
      <c r="K865" s="140"/>
      <c r="L865" s="140"/>
      <c r="M865" s="140"/>
      <c r="N865" s="140"/>
      <c r="O865" s="140"/>
      <c r="P865" s="140"/>
      <c r="Q865" s="140"/>
      <c r="R865" s="140"/>
      <c r="S865" s="140"/>
      <c r="T865" s="140"/>
      <c r="U865" s="140"/>
      <c r="V865" s="140"/>
      <c r="W865" s="140"/>
      <c r="X865" s="140"/>
      <c r="Y865" s="140"/>
      <c r="Z865" s="140"/>
    </row>
    <row r="866" spans="1:26" ht="15.75" customHeight="1">
      <c r="A866" s="142"/>
      <c r="B866" s="141"/>
      <c r="C866" s="142"/>
      <c r="D866" s="142"/>
      <c r="E866" s="86"/>
      <c r="F866" s="86"/>
      <c r="G866" s="140"/>
      <c r="H866" s="140"/>
      <c r="I866" s="140"/>
      <c r="J866" s="140"/>
      <c r="K866" s="140"/>
      <c r="L866" s="140"/>
      <c r="M866" s="140"/>
      <c r="N866" s="140"/>
      <c r="O866" s="140"/>
      <c r="P866" s="140"/>
      <c r="Q866" s="140"/>
      <c r="R866" s="140"/>
      <c r="S866" s="140"/>
      <c r="T866" s="140"/>
      <c r="U866" s="140"/>
      <c r="V866" s="140"/>
      <c r="W866" s="140"/>
      <c r="X866" s="140"/>
      <c r="Y866" s="140"/>
      <c r="Z866" s="140"/>
    </row>
    <row r="867" spans="1:26" ht="15.75" customHeight="1">
      <c r="A867" s="142"/>
      <c r="B867" s="141"/>
      <c r="C867" s="142"/>
      <c r="D867" s="142"/>
      <c r="E867" s="86"/>
      <c r="F867" s="86"/>
      <c r="G867" s="140"/>
      <c r="H867" s="140"/>
      <c r="I867" s="140"/>
      <c r="J867" s="140"/>
      <c r="K867" s="140"/>
      <c r="L867" s="140"/>
      <c r="M867" s="140"/>
      <c r="N867" s="140"/>
      <c r="O867" s="140"/>
      <c r="P867" s="140"/>
      <c r="Q867" s="140"/>
      <c r="R867" s="140"/>
      <c r="S867" s="140"/>
      <c r="T867" s="140"/>
      <c r="U867" s="140"/>
      <c r="V867" s="140"/>
      <c r="W867" s="140"/>
      <c r="X867" s="140"/>
      <c r="Y867" s="140"/>
      <c r="Z867" s="140"/>
    </row>
    <row r="868" spans="1:26" ht="15.75" customHeight="1">
      <c r="A868" s="142"/>
      <c r="B868" s="141"/>
      <c r="C868" s="142"/>
      <c r="D868" s="142"/>
      <c r="E868" s="86"/>
      <c r="F868" s="86"/>
      <c r="G868" s="140"/>
      <c r="H868" s="140"/>
      <c r="I868" s="140"/>
      <c r="J868" s="140"/>
      <c r="K868" s="140"/>
      <c r="L868" s="140"/>
      <c r="M868" s="140"/>
      <c r="N868" s="140"/>
      <c r="O868" s="140"/>
      <c r="P868" s="140"/>
      <c r="Q868" s="140"/>
      <c r="R868" s="140"/>
      <c r="S868" s="140"/>
      <c r="T868" s="140"/>
      <c r="U868" s="140"/>
      <c r="V868" s="140"/>
      <c r="W868" s="140"/>
      <c r="X868" s="140"/>
      <c r="Y868" s="140"/>
      <c r="Z868" s="140"/>
    </row>
    <row r="869" spans="1:26" ht="15.75" customHeight="1">
      <c r="A869" s="142"/>
      <c r="B869" s="141"/>
      <c r="C869" s="142"/>
      <c r="D869" s="142"/>
      <c r="E869" s="86"/>
      <c r="F869" s="86"/>
      <c r="G869" s="140"/>
      <c r="H869" s="140"/>
      <c r="I869" s="140"/>
      <c r="J869" s="140"/>
      <c r="K869" s="140"/>
      <c r="L869" s="140"/>
      <c r="M869" s="140"/>
      <c r="N869" s="140"/>
      <c r="O869" s="140"/>
      <c r="P869" s="140"/>
      <c r="Q869" s="140"/>
      <c r="R869" s="140"/>
      <c r="S869" s="140"/>
      <c r="T869" s="140"/>
      <c r="U869" s="140"/>
      <c r="V869" s="140"/>
      <c r="W869" s="140"/>
      <c r="X869" s="140"/>
      <c r="Y869" s="140"/>
      <c r="Z869" s="140"/>
    </row>
    <row r="870" spans="1:26" ht="15.75" customHeight="1">
      <c r="A870" s="142"/>
      <c r="B870" s="141"/>
      <c r="C870" s="142"/>
      <c r="D870" s="142"/>
      <c r="E870" s="86"/>
      <c r="F870" s="86"/>
      <c r="G870" s="140"/>
      <c r="H870" s="140"/>
      <c r="I870" s="140"/>
      <c r="J870" s="140"/>
      <c r="K870" s="140"/>
      <c r="L870" s="140"/>
      <c r="M870" s="140"/>
      <c r="N870" s="140"/>
      <c r="O870" s="140"/>
      <c r="P870" s="140"/>
      <c r="Q870" s="140"/>
      <c r="R870" s="140"/>
      <c r="S870" s="140"/>
      <c r="T870" s="140"/>
      <c r="U870" s="140"/>
      <c r="V870" s="140"/>
      <c r="W870" s="140"/>
      <c r="X870" s="140"/>
      <c r="Y870" s="140"/>
      <c r="Z870" s="140"/>
    </row>
    <row r="871" spans="1:26" ht="15.75" customHeight="1">
      <c r="A871" s="142"/>
      <c r="B871" s="141"/>
      <c r="C871" s="142"/>
      <c r="D871" s="142"/>
      <c r="E871" s="86"/>
      <c r="F871" s="86"/>
      <c r="G871" s="140"/>
      <c r="H871" s="140"/>
      <c r="I871" s="140"/>
      <c r="J871" s="140"/>
      <c r="K871" s="140"/>
      <c r="L871" s="140"/>
      <c r="M871" s="140"/>
      <c r="N871" s="140"/>
      <c r="O871" s="140"/>
      <c r="P871" s="140"/>
      <c r="Q871" s="140"/>
      <c r="R871" s="140"/>
      <c r="S871" s="140"/>
      <c r="T871" s="140"/>
      <c r="U871" s="140"/>
      <c r="V871" s="140"/>
      <c r="W871" s="140"/>
      <c r="X871" s="140"/>
      <c r="Y871" s="140"/>
      <c r="Z871" s="140"/>
    </row>
    <row r="872" spans="1:26" ht="15.75" customHeight="1">
      <c r="A872" s="142"/>
      <c r="B872" s="141"/>
      <c r="C872" s="142"/>
      <c r="D872" s="142"/>
      <c r="E872" s="86"/>
      <c r="F872" s="86"/>
      <c r="G872" s="140"/>
      <c r="H872" s="140"/>
      <c r="I872" s="140"/>
      <c r="J872" s="140"/>
      <c r="K872" s="140"/>
      <c r="L872" s="140"/>
      <c r="M872" s="140"/>
      <c r="N872" s="140"/>
      <c r="O872" s="140"/>
      <c r="P872" s="140"/>
      <c r="Q872" s="140"/>
      <c r="R872" s="140"/>
      <c r="S872" s="140"/>
      <c r="T872" s="140"/>
      <c r="U872" s="140"/>
      <c r="V872" s="140"/>
      <c r="W872" s="140"/>
      <c r="X872" s="140"/>
      <c r="Y872" s="140"/>
      <c r="Z872" s="140"/>
    </row>
    <row r="873" spans="1:26" ht="15.75" customHeight="1">
      <c r="A873" s="142"/>
      <c r="B873" s="141"/>
      <c r="C873" s="142"/>
      <c r="D873" s="142"/>
      <c r="E873" s="86"/>
      <c r="F873" s="86"/>
      <c r="G873" s="140"/>
      <c r="H873" s="140"/>
      <c r="I873" s="140"/>
      <c r="J873" s="140"/>
      <c r="K873" s="140"/>
      <c r="L873" s="140"/>
      <c r="M873" s="140"/>
      <c r="N873" s="140"/>
      <c r="O873" s="140"/>
      <c r="P873" s="140"/>
      <c r="Q873" s="140"/>
      <c r="R873" s="140"/>
      <c r="S873" s="140"/>
      <c r="T873" s="140"/>
      <c r="U873" s="140"/>
      <c r="V873" s="140"/>
      <c r="W873" s="140"/>
      <c r="X873" s="140"/>
      <c r="Y873" s="140"/>
      <c r="Z873" s="140"/>
    </row>
    <row r="874" spans="1:26" ht="15.75" customHeight="1">
      <c r="A874" s="142"/>
      <c r="B874" s="141"/>
      <c r="C874" s="142"/>
      <c r="D874" s="142"/>
      <c r="E874" s="86"/>
      <c r="F874" s="86"/>
      <c r="G874" s="140"/>
      <c r="H874" s="140"/>
      <c r="I874" s="140"/>
      <c r="J874" s="140"/>
      <c r="K874" s="140"/>
      <c r="L874" s="140"/>
      <c r="M874" s="140"/>
      <c r="N874" s="140"/>
      <c r="O874" s="140"/>
      <c r="P874" s="140"/>
      <c r="Q874" s="140"/>
      <c r="R874" s="140"/>
      <c r="S874" s="140"/>
      <c r="T874" s="140"/>
      <c r="U874" s="140"/>
      <c r="V874" s="140"/>
      <c r="W874" s="140"/>
      <c r="X874" s="140"/>
      <c r="Y874" s="140"/>
      <c r="Z874" s="140"/>
    </row>
    <row r="875" spans="1:26" ht="15.75" customHeight="1">
      <c r="A875" s="142"/>
      <c r="B875" s="141"/>
      <c r="C875" s="142"/>
      <c r="D875" s="142"/>
      <c r="E875" s="86"/>
      <c r="F875" s="86"/>
      <c r="G875" s="140"/>
      <c r="H875" s="140"/>
      <c r="I875" s="140"/>
      <c r="J875" s="140"/>
      <c r="K875" s="140"/>
      <c r="L875" s="140"/>
      <c r="M875" s="140"/>
      <c r="N875" s="140"/>
      <c r="O875" s="140"/>
      <c r="P875" s="140"/>
      <c r="Q875" s="140"/>
      <c r="R875" s="140"/>
      <c r="S875" s="140"/>
      <c r="T875" s="140"/>
      <c r="U875" s="140"/>
      <c r="V875" s="140"/>
      <c r="W875" s="140"/>
      <c r="X875" s="140"/>
      <c r="Y875" s="140"/>
      <c r="Z875" s="140"/>
    </row>
    <row r="876" spans="1:26" ht="15.75" customHeight="1">
      <c r="A876" s="142"/>
      <c r="B876" s="141"/>
      <c r="C876" s="142"/>
      <c r="D876" s="142"/>
      <c r="E876" s="86"/>
      <c r="F876" s="86"/>
      <c r="G876" s="140"/>
      <c r="H876" s="140"/>
      <c r="I876" s="140"/>
      <c r="J876" s="140"/>
      <c r="K876" s="140"/>
      <c r="L876" s="140"/>
      <c r="M876" s="140"/>
      <c r="N876" s="140"/>
      <c r="O876" s="140"/>
      <c r="P876" s="140"/>
      <c r="Q876" s="140"/>
      <c r="R876" s="140"/>
      <c r="S876" s="140"/>
      <c r="T876" s="140"/>
      <c r="U876" s="140"/>
      <c r="V876" s="140"/>
      <c r="W876" s="140"/>
      <c r="X876" s="140"/>
      <c r="Y876" s="140"/>
      <c r="Z876" s="140"/>
    </row>
    <row r="877" spans="1:26" ht="15.75" customHeight="1">
      <c r="A877" s="142"/>
      <c r="B877" s="141"/>
      <c r="C877" s="142"/>
      <c r="D877" s="142"/>
      <c r="E877" s="86"/>
      <c r="F877" s="86"/>
      <c r="G877" s="140"/>
      <c r="H877" s="140"/>
      <c r="I877" s="140"/>
      <c r="J877" s="140"/>
      <c r="K877" s="140"/>
      <c r="L877" s="140"/>
      <c r="M877" s="140"/>
      <c r="N877" s="140"/>
      <c r="O877" s="140"/>
      <c r="P877" s="140"/>
      <c r="Q877" s="140"/>
      <c r="R877" s="140"/>
      <c r="S877" s="140"/>
      <c r="T877" s="140"/>
      <c r="U877" s="140"/>
      <c r="V877" s="140"/>
      <c r="W877" s="140"/>
      <c r="X877" s="140"/>
      <c r="Y877" s="140"/>
      <c r="Z877" s="140"/>
    </row>
    <row r="878" spans="1:26" ht="15.75" customHeight="1">
      <c r="A878" s="142"/>
      <c r="B878" s="141"/>
      <c r="C878" s="142"/>
      <c r="D878" s="142"/>
      <c r="E878" s="86"/>
      <c r="F878" s="86"/>
      <c r="G878" s="140"/>
      <c r="H878" s="140"/>
      <c r="I878" s="140"/>
      <c r="J878" s="140"/>
      <c r="K878" s="140"/>
      <c r="L878" s="140"/>
      <c r="M878" s="140"/>
      <c r="N878" s="140"/>
      <c r="O878" s="140"/>
      <c r="P878" s="140"/>
      <c r="Q878" s="140"/>
      <c r="R878" s="140"/>
      <c r="S878" s="140"/>
      <c r="T878" s="140"/>
      <c r="U878" s="140"/>
      <c r="V878" s="140"/>
      <c r="W878" s="140"/>
      <c r="X878" s="140"/>
      <c r="Y878" s="140"/>
      <c r="Z878" s="140"/>
    </row>
    <row r="879" spans="1:26" ht="15.75" customHeight="1">
      <c r="A879" s="142"/>
      <c r="B879" s="141"/>
      <c r="C879" s="142"/>
      <c r="D879" s="142"/>
      <c r="E879" s="86"/>
      <c r="F879" s="86"/>
      <c r="G879" s="140"/>
      <c r="H879" s="140"/>
      <c r="I879" s="140"/>
      <c r="J879" s="140"/>
      <c r="K879" s="140"/>
      <c r="L879" s="140"/>
      <c r="M879" s="140"/>
      <c r="N879" s="140"/>
      <c r="O879" s="140"/>
      <c r="P879" s="140"/>
      <c r="Q879" s="140"/>
      <c r="R879" s="140"/>
      <c r="S879" s="140"/>
      <c r="T879" s="140"/>
      <c r="U879" s="140"/>
      <c r="V879" s="140"/>
      <c r="W879" s="140"/>
      <c r="X879" s="140"/>
      <c r="Y879" s="140"/>
      <c r="Z879" s="140"/>
    </row>
    <row r="880" spans="1:26" ht="15.75" customHeight="1">
      <c r="A880" s="142"/>
      <c r="B880" s="141"/>
      <c r="C880" s="142"/>
      <c r="D880" s="142"/>
      <c r="E880" s="86"/>
      <c r="F880" s="86"/>
      <c r="G880" s="140"/>
      <c r="H880" s="140"/>
      <c r="I880" s="140"/>
      <c r="J880" s="140"/>
      <c r="K880" s="140"/>
      <c r="L880" s="140"/>
      <c r="M880" s="140"/>
      <c r="N880" s="140"/>
      <c r="O880" s="140"/>
      <c r="P880" s="140"/>
      <c r="Q880" s="140"/>
      <c r="R880" s="140"/>
      <c r="S880" s="140"/>
      <c r="T880" s="140"/>
      <c r="U880" s="140"/>
      <c r="V880" s="140"/>
      <c r="W880" s="140"/>
      <c r="X880" s="140"/>
      <c r="Y880" s="140"/>
      <c r="Z880" s="140"/>
    </row>
    <row r="881" spans="1:26" ht="15.75" customHeight="1">
      <c r="A881" s="142"/>
      <c r="B881" s="141"/>
      <c r="C881" s="142"/>
      <c r="D881" s="142"/>
      <c r="E881" s="86"/>
      <c r="F881" s="86"/>
      <c r="G881" s="140"/>
      <c r="H881" s="140"/>
      <c r="I881" s="140"/>
      <c r="J881" s="140"/>
      <c r="K881" s="140"/>
      <c r="L881" s="140"/>
      <c r="M881" s="140"/>
      <c r="N881" s="140"/>
      <c r="O881" s="140"/>
      <c r="P881" s="140"/>
      <c r="Q881" s="140"/>
      <c r="R881" s="140"/>
      <c r="S881" s="140"/>
      <c r="T881" s="140"/>
      <c r="U881" s="140"/>
      <c r="V881" s="140"/>
      <c r="W881" s="140"/>
      <c r="X881" s="140"/>
      <c r="Y881" s="140"/>
      <c r="Z881" s="140"/>
    </row>
    <row r="882" spans="1:26" ht="15.75" customHeight="1">
      <c r="A882" s="142"/>
      <c r="B882" s="141"/>
      <c r="C882" s="142"/>
      <c r="D882" s="142"/>
      <c r="E882" s="86"/>
      <c r="F882" s="86"/>
      <c r="G882" s="140"/>
      <c r="H882" s="140"/>
      <c r="I882" s="140"/>
      <c r="J882" s="140"/>
      <c r="K882" s="140"/>
      <c r="L882" s="140"/>
      <c r="M882" s="140"/>
      <c r="N882" s="140"/>
      <c r="O882" s="140"/>
      <c r="P882" s="140"/>
      <c r="Q882" s="140"/>
      <c r="R882" s="140"/>
      <c r="S882" s="140"/>
      <c r="T882" s="140"/>
      <c r="U882" s="140"/>
      <c r="V882" s="140"/>
      <c r="W882" s="140"/>
      <c r="X882" s="140"/>
      <c r="Y882" s="140"/>
      <c r="Z882" s="140"/>
    </row>
    <row r="883" spans="1:26" ht="15.75" customHeight="1">
      <c r="A883" s="142"/>
      <c r="B883" s="141"/>
      <c r="C883" s="142"/>
      <c r="D883" s="142"/>
      <c r="E883" s="86"/>
      <c r="F883" s="86"/>
      <c r="G883" s="140"/>
      <c r="H883" s="140"/>
      <c r="I883" s="140"/>
      <c r="J883" s="140"/>
      <c r="K883" s="140"/>
      <c r="L883" s="140"/>
      <c r="M883" s="140"/>
      <c r="N883" s="140"/>
      <c r="O883" s="140"/>
      <c r="P883" s="140"/>
      <c r="Q883" s="140"/>
      <c r="R883" s="140"/>
      <c r="S883" s="140"/>
      <c r="T883" s="140"/>
      <c r="U883" s="140"/>
      <c r="V883" s="140"/>
      <c r="W883" s="140"/>
      <c r="X883" s="140"/>
      <c r="Y883" s="140"/>
      <c r="Z883" s="140"/>
    </row>
    <row r="884" spans="1:26" ht="15.75" customHeight="1">
      <c r="A884" s="142"/>
      <c r="B884" s="141"/>
      <c r="C884" s="142"/>
      <c r="D884" s="142"/>
      <c r="E884" s="86"/>
      <c r="F884" s="86"/>
      <c r="G884" s="140"/>
      <c r="H884" s="140"/>
      <c r="I884" s="140"/>
      <c r="J884" s="140"/>
      <c r="K884" s="140"/>
      <c r="L884" s="140"/>
      <c r="M884" s="140"/>
      <c r="N884" s="140"/>
      <c r="O884" s="140"/>
      <c r="P884" s="140"/>
      <c r="Q884" s="140"/>
      <c r="R884" s="140"/>
      <c r="S884" s="140"/>
      <c r="T884" s="140"/>
      <c r="U884" s="140"/>
      <c r="V884" s="140"/>
      <c r="W884" s="140"/>
      <c r="X884" s="140"/>
      <c r="Y884" s="140"/>
      <c r="Z884" s="140"/>
    </row>
    <row r="885" spans="1:26" ht="15.75" customHeight="1">
      <c r="A885" s="142"/>
      <c r="B885" s="141"/>
      <c r="C885" s="142"/>
      <c r="D885" s="142"/>
      <c r="E885" s="86"/>
      <c r="F885" s="86"/>
      <c r="G885" s="140"/>
      <c r="H885" s="140"/>
      <c r="I885" s="140"/>
      <c r="J885" s="140"/>
      <c r="K885" s="140"/>
      <c r="L885" s="140"/>
      <c r="M885" s="140"/>
      <c r="N885" s="140"/>
      <c r="O885" s="140"/>
      <c r="P885" s="140"/>
      <c r="Q885" s="140"/>
      <c r="R885" s="140"/>
      <c r="S885" s="140"/>
      <c r="T885" s="140"/>
      <c r="U885" s="140"/>
      <c r="V885" s="140"/>
      <c r="W885" s="140"/>
      <c r="X885" s="140"/>
      <c r="Y885" s="140"/>
      <c r="Z885" s="140"/>
    </row>
    <row r="886" spans="1:26" ht="15.75" customHeight="1">
      <c r="A886" s="142"/>
      <c r="B886" s="141"/>
      <c r="C886" s="142"/>
      <c r="D886" s="142"/>
      <c r="E886" s="86"/>
      <c r="F886" s="86"/>
      <c r="G886" s="140"/>
      <c r="H886" s="140"/>
      <c r="I886" s="140"/>
      <c r="J886" s="140"/>
      <c r="K886" s="140"/>
      <c r="L886" s="140"/>
      <c r="M886" s="140"/>
      <c r="N886" s="140"/>
      <c r="O886" s="140"/>
      <c r="P886" s="140"/>
      <c r="Q886" s="140"/>
      <c r="R886" s="140"/>
      <c r="S886" s="140"/>
      <c r="T886" s="140"/>
      <c r="U886" s="140"/>
      <c r="V886" s="140"/>
      <c r="W886" s="140"/>
      <c r="X886" s="140"/>
      <c r="Y886" s="140"/>
      <c r="Z886" s="140"/>
    </row>
    <row r="887" spans="1:26" ht="15.75" customHeight="1">
      <c r="A887" s="142"/>
      <c r="B887" s="141"/>
      <c r="C887" s="142"/>
      <c r="D887" s="142"/>
      <c r="E887" s="86"/>
      <c r="F887" s="86"/>
      <c r="G887" s="140"/>
      <c r="H887" s="140"/>
      <c r="I887" s="140"/>
      <c r="J887" s="140"/>
      <c r="K887" s="140"/>
      <c r="L887" s="140"/>
      <c r="M887" s="140"/>
      <c r="N887" s="140"/>
      <c r="O887" s="140"/>
      <c r="P887" s="140"/>
      <c r="Q887" s="140"/>
      <c r="R887" s="140"/>
      <c r="S887" s="140"/>
      <c r="T887" s="140"/>
      <c r="U887" s="140"/>
      <c r="V887" s="140"/>
      <c r="W887" s="140"/>
      <c r="X887" s="140"/>
      <c r="Y887" s="140"/>
      <c r="Z887" s="140"/>
    </row>
    <row r="888" spans="1:26" ht="15.75" customHeight="1">
      <c r="A888" s="142"/>
      <c r="B888" s="141"/>
      <c r="C888" s="142"/>
      <c r="D888" s="142"/>
      <c r="E888" s="86"/>
      <c r="F888" s="86"/>
      <c r="G888" s="140"/>
      <c r="H888" s="140"/>
      <c r="I888" s="140"/>
      <c r="J888" s="140"/>
      <c r="K888" s="140"/>
      <c r="L888" s="140"/>
      <c r="M888" s="140"/>
      <c r="N888" s="140"/>
      <c r="O888" s="140"/>
      <c r="P888" s="140"/>
      <c r="Q888" s="140"/>
      <c r="R888" s="140"/>
      <c r="S888" s="140"/>
      <c r="T888" s="140"/>
      <c r="U888" s="140"/>
      <c r="V888" s="140"/>
      <c r="W888" s="140"/>
      <c r="X888" s="140"/>
      <c r="Y888" s="140"/>
      <c r="Z888" s="140"/>
    </row>
    <row r="889" spans="1:26" ht="15.75" customHeight="1">
      <c r="A889" s="142"/>
      <c r="B889" s="141"/>
      <c r="C889" s="142"/>
      <c r="D889" s="142"/>
      <c r="E889" s="86"/>
      <c r="F889" s="86"/>
      <c r="G889" s="140"/>
      <c r="H889" s="140"/>
      <c r="I889" s="140"/>
      <c r="J889" s="140"/>
      <c r="K889" s="140"/>
      <c r="L889" s="140"/>
      <c r="M889" s="140"/>
      <c r="N889" s="140"/>
      <c r="O889" s="140"/>
      <c r="P889" s="140"/>
      <c r="Q889" s="140"/>
      <c r="R889" s="140"/>
      <c r="S889" s="140"/>
      <c r="T889" s="140"/>
      <c r="U889" s="140"/>
      <c r="V889" s="140"/>
      <c r="W889" s="140"/>
      <c r="X889" s="140"/>
      <c r="Y889" s="140"/>
      <c r="Z889" s="140"/>
    </row>
    <row r="890" spans="1:26" ht="15.75" customHeight="1">
      <c r="A890" s="142"/>
      <c r="B890" s="141"/>
      <c r="C890" s="142"/>
      <c r="D890" s="142"/>
      <c r="E890" s="86"/>
      <c r="F890" s="86"/>
      <c r="G890" s="140"/>
      <c r="H890" s="140"/>
      <c r="I890" s="140"/>
      <c r="J890" s="140"/>
      <c r="K890" s="140"/>
      <c r="L890" s="140"/>
      <c r="M890" s="140"/>
      <c r="N890" s="140"/>
      <c r="O890" s="140"/>
      <c r="P890" s="140"/>
      <c r="Q890" s="140"/>
      <c r="R890" s="140"/>
      <c r="S890" s="140"/>
      <c r="T890" s="140"/>
      <c r="U890" s="140"/>
      <c r="V890" s="140"/>
      <c r="W890" s="140"/>
      <c r="X890" s="140"/>
      <c r="Y890" s="140"/>
      <c r="Z890" s="140"/>
    </row>
    <row r="891" spans="1:26" ht="15.75" customHeight="1">
      <c r="A891" s="142"/>
      <c r="B891" s="141"/>
      <c r="C891" s="142"/>
      <c r="D891" s="142"/>
      <c r="E891" s="86"/>
      <c r="F891" s="86"/>
      <c r="G891" s="140"/>
      <c r="H891" s="140"/>
      <c r="I891" s="140"/>
      <c r="J891" s="140"/>
      <c r="K891" s="140"/>
      <c r="L891" s="140"/>
      <c r="M891" s="140"/>
      <c r="N891" s="140"/>
      <c r="O891" s="140"/>
      <c r="P891" s="140"/>
      <c r="Q891" s="140"/>
      <c r="R891" s="140"/>
      <c r="S891" s="140"/>
      <c r="T891" s="140"/>
      <c r="U891" s="140"/>
      <c r="V891" s="140"/>
      <c r="W891" s="140"/>
      <c r="X891" s="140"/>
      <c r="Y891" s="140"/>
      <c r="Z891" s="140"/>
    </row>
    <row r="892" spans="1:26" ht="15.75" customHeight="1">
      <c r="A892" s="142"/>
      <c r="B892" s="141"/>
      <c r="C892" s="142"/>
      <c r="D892" s="142"/>
      <c r="E892" s="86"/>
      <c r="F892" s="86"/>
      <c r="G892" s="140"/>
      <c r="H892" s="140"/>
      <c r="I892" s="140"/>
      <c r="J892" s="140"/>
      <c r="K892" s="140"/>
      <c r="L892" s="140"/>
      <c r="M892" s="140"/>
      <c r="N892" s="140"/>
      <c r="O892" s="140"/>
      <c r="P892" s="140"/>
      <c r="Q892" s="140"/>
      <c r="R892" s="140"/>
      <c r="S892" s="140"/>
      <c r="T892" s="140"/>
      <c r="U892" s="140"/>
      <c r="V892" s="140"/>
      <c r="W892" s="140"/>
      <c r="X892" s="140"/>
      <c r="Y892" s="140"/>
      <c r="Z892" s="140"/>
    </row>
    <row r="893" spans="1:26" ht="15.75" customHeight="1">
      <c r="A893" s="142"/>
      <c r="B893" s="141"/>
      <c r="C893" s="142"/>
      <c r="D893" s="142"/>
      <c r="E893" s="86"/>
      <c r="F893" s="86"/>
      <c r="G893" s="140"/>
      <c r="H893" s="140"/>
      <c r="I893" s="140"/>
      <c r="J893" s="140"/>
      <c r="K893" s="140"/>
      <c r="L893" s="140"/>
      <c r="M893" s="140"/>
      <c r="N893" s="140"/>
      <c r="O893" s="140"/>
      <c r="P893" s="140"/>
      <c r="Q893" s="140"/>
      <c r="R893" s="140"/>
      <c r="S893" s="140"/>
      <c r="T893" s="140"/>
      <c r="U893" s="140"/>
      <c r="V893" s="140"/>
      <c r="W893" s="140"/>
      <c r="X893" s="140"/>
      <c r="Y893" s="140"/>
      <c r="Z893" s="140"/>
    </row>
    <row r="894" spans="1:26" ht="15.75" customHeight="1">
      <c r="A894" s="142"/>
      <c r="B894" s="141"/>
      <c r="C894" s="142"/>
      <c r="D894" s="142"/>
      <c r="E894" s="86"/>
      <c r="F894" s="86"/>
      <c r="G894" s="140"/>
      <c r="H894" s="140"/>
      <c r="I894" s="140"/>
      <c r="J894" s="140"/>
      <c r="K894" s="140"/>
      <c r="L894" s="140"/>
      <c r="M894" s="140"/>
      <c r="N894" s="140"/>
      <c r="O894" s="140"/>
      <c r="P894" s="140"/>
      <c r="Q894" s="140"/>
      <c r="R894" s="140"/>
      <c r="S894" s="140"/>
      <c r="T894" s="140"/>
      <c r="U894" s="140"/>
      <c r="V894" s="140"/>
      <c r="W894" s="140"/>
      <c r="X894" s="140"/>
      <c r="Y894" s="140"/>
      <c r="Z894" s="140"/>
    </row>
    <row r="895" spans="1:26" ht="15.75" customHeight="1">
      <c r="A895" s="142"/>
      <c r="B895" s="141"/>
      <c r="C895" s="142"/>
      <c r="D895" s="142"/>
      <c r="E895" s="86"/>
      <c r="F895" s="86"/>
      <c r="G895" s="140"/>
      <c r="H895" s="140"/>
      <c r="I895" s="140"/>
      <c r="J895" s="140"/>
      <c r="K895" s="140"/>
      <c r="L895" s="140"/>
      <c r="M895" s="140"/>
      <c r="N895" s="140"/>
      <c r="O895" s="140"/>
      <c r="P895" s="140"/>
      <c r="Q895" s="140"/>
      <c r="R895" s="140"/>
      <c r="S895" s="140"/>
      <c r="T895" s="140"/>
      <c r="U895" s="140"/>
      <c r="V895" s="140"/>
      <c r="W895" s="140"/>
      <c r="X895" s="140"/>
      <c r="Y895" s="140"/>
      <c r="Z895" s="140"/>
    </row>
    <row r="896" spans="1:26" ht="15.75" customHeight="1">
      <c r="A896" s="142"/>
      <c r="B896" s="141"/>
      <c r="C896" s="142"/>
      <c r="D896" s="142"/>
      <c r="E896" s="86"/>
      <c r="F896" s="86"/>
      <c r="G896" s="140"/>
      <c r="H896" s="140"/>
      <c r="I896" s="140"/>
      <c r="J896" s="140"/>
      <c r="K896" s="140"/>
      <c r="L896" s="140"/>
      <c r="M896" s="140"/>
      <c r="N896" s="140"/>
      <c r="O896" s="140"/>
      <c r="P896" s="140"/>
      <c r="Q896" s="140"/>
      <c r="R896" s="140"/>
      <c r="S896" s="140"/>
      <c r="T896" s="140"/>
      <c r="U896" s="140"/>
      <c r="V896" s="140"/>
      <c r="W896" s="140"/>
      <c r="X896" s="140"/>
      <c r="Y896" s="140"/>
      <c r="Z896" s="140"/>
    </row>
    <row r="897" spans="1:26" ht="15.75" customHeight="1">
      <c r="A897" s="142"/>
      <c r="B897" s="141"/>
      <c r="C897" s="142"/>
      <c r="D897" s="142"/>
      <c r="E897" s="86"/>
      <c r="F897" s="86"/>
      <c r="G897" s="140"/>
      <c r="H897" s="140"/>
      <c r="I897" s="140"/>
      <c r="J897" s="140"/>
      <c r="K897" s="140"/>
      <c r="L897" s="140"/>
      <c r="M897" s="140"/>
      <c r="N897" s="140"/>
      <c r="O897" s="140"/>
      <c r="P897" s="140"/>
      <c r="Q897" s="140"/>
      <c r="R897" s="140"/>
      <c r="S897" s="140"/>
      <c r="T897" s="140"/>
      <c r="U897" s="140"/>
      <c r="V897" s="140"/>
      <c r="W897" s="140"/>
      <c r="X897" s="140"/>
      <c r="Y897" s="140"/>
      <c r="Z897" s="140"/>
    </row>
    <row r="898" spans="1:26" ht="15.75" customHeight="1">
      <c r="A898" s="142"/>
      <c r="B898" s="141"/>
      <c r="C898" s="142"/>
      <c r="D898" s="142"/>
      <c r="E898" s="86"/>
      <c r="F898" s="86"/>
      <c r="G898" s="140"/>
      <c r="H898" s="140"/>
      <c r="I898" s="140"/>
      <c r="J898" s="140"/>
      <c r="K898" s="140"/>
      <c r="L898" s="140"/>
      <c r="M898" s="140"/>
      <c r="N898" s="140"/>
      <c r="O898" s="140"/>
      <c r="P898" s="140"/>
      <c r="Q898" s="140"/>
      <c r="R898" s="140"/>
      <c r="S898" s="140"/>
      <c r="T898" s="140"/>
      <c r="U898" s="140"/>
      <c r="V898" s="140"/>
      <c r="W898" s="140"/>
      <c r="X898" s="140"/>
      <c r="Y898" s="140"/>
      <c r="Z898" s="140"/>
    </row>
    <row r="899" spans="1:26" ht="15.75" customHeight="1">
      <c r="A899" s="142"/>
      <c r="B899" s="141"/>
      <c r="C899" s="142"/>
      <c r="D899" s="142"/>
      <c r="E899" s="86"/>
      <c r="F899" s="86"/>
      <c r="G899" s="140"/>
      <c r="H899" s="140"/>
      <c r="I899" s="140"/>
      <c r="J899" s="140"/>
      <c r="K899" s="140"/>
      <c r="L899" s="140"/>
      <c r="M899" s="140"/>
      <c r="N899" s="140"/>
      <c r="O899" s="140"/>
      <c r="P899" s="140"/>
      <c r="Q899" s="140"/>
      <c r="R899" s="140"/>
      <c r="S899" s="140"/>
      <c r="T899" s="140"/>
      <c r="U899" s="140"/>
      <c r="V899" s="140"/>
      <c r="W899" s="140"/>
      <c r="X899" s="140"/>
      <c r="Y899" s="140"/>
      <c r="Z899" s="140"/>
    </row>
    <row r="900" spans="1:26" ht="15.75" customHeight="1">
      <c r="A900" s="142"/>
      <c r="B900" s="141"/>
      <c r="C900" s="142"/>
      <c r="D900" s="142"/>
      <c r="E900" s="86"/>
      <c r="F900" s="86"/>
      <c r="G900" s="140"/>
      <c r="H900" s="140"/>
      <c r="I900" s="140"/>
      <c r="J900" s="140"/>
      <c r="K900" s="140"/>
      <c r="L900" s="140"/>
      <c r="M900" s="140"/>
      <c r="N900" s="140"/>
      <c r="O900" s="140"/>
      <c r="P900" s="140"/>
      <c r="Q900" s="140"/>
      <c r="R900" s="140"/>
      <c r="S900" s="140"/>
      <c r="T900" s="140"/>
      <c r="U900" s="140"/>
      <c r="V900" s="140"/>
      <c r="W900" s="140"/>
      <c r="X900" s="140"/>
      <c r="Y900" s="140"/>
      <c r="Z900" s="140"/>
    </row>
    <row r="901" spans="1:26" ht="15.75" customHeight="1">
      <c r="A901" s="142"/>
      <c r="B901" s="141"/>
      <c r="C901" s="142"/>
      <c r="D901" s="142"/>
      <c r="E901" s="86"/>
      <c r="F901" s="86"/>
      <c r="G901" s="140"/>
      <c r="H901" s="140"/>
      <c r="I901" s="140"/>
      <c r="J901" s="140"/>
      <c r="K901" s="140"/>
      <c r="L901" s="140"/>
      <c r="M901" s="140"/>
      <c r="N901" s="140"/>
      <c r="O901" s="140"/>
      <c r="P901" s="140"/>
      <c r="Q901" s="140"/>
      <c r="R901" s="140"/>
      <c r="S901" s="140"/>
      <c r="T901" s="140"/>
      <c r="U901" s="140"/>
      <c r="V901" s="140"/>
      <c r="W901" s="140"/>
      <c r="X901" s="140"/>
      <c r="Y901" s="140"/>
      <c r="Z901" s="140"/>
    </row>
    <row r="902" spans="1:26" ht="15.75" customHeight="1">
      <c r="A902" s="142"/>
      <c r="B902" s="141"/>
      <c r="C902" s="142"/>
      <c r="D902" s="142"/>
      <c r="E902" s="86"/>
      <c r="F902" s="86"/>
      <c r="G902" s="140"/>
      <c r="H902" s="140"/>
      <c r="I902" s="140"/>
      <c r="J902" s="140"/>
      <c r="K902" s="140"/>
      <c r="L902" s="140"/>
      <c r="M902" s="140"/>
      <c r="N902" s="140"/>
      <c r="O902" s="140"/>
      <c r="P902" s="140"/>
      <c r="Q902" s="140"/>
      <c r="R902" s="140"/>
      <c r="S902" s="140"/>
      <c r="T902" s="140"/>
      <c r="U902" s="140"/>
      <c r="V902" s="140"/>
      <c r="W902" s="140"/>
      <c r="X902" s="140"/>
      <c r="Y902" s="140"/>
      <c r="Z902" s="140"/>
    </row>
    <row r="903" spans="1:26" ht="15.75" customHeight="1">
      <c r="A903" s="142"/>
      <c r="B903" s="141"/>
      <c r="C903" s="142"/>
      <c r="D903" s="142"/>
      <c r="E903" s="86"/>
      <c r="F903" s="86"/>
      <c r="G903" s="140"/>
      <c r="H903" s="140"/>
      <c r="I903" s="140"/>
      <c r="J903" s="140"/>
      <c r="K903" s="140"/>
      <c r="L903" s="140"/>
      <c r="M903" s="140"/>
      <c r="N903" s="140"/>
      <c r="O903" s="140"/>
      <c r="P903" s="140"/>
      <c r="Q903" s="140"/>
      <c r="R903" s="140"/>
      <c r="S903" s="140"/>
      <c r="T903" s="140"/>
      <c r="U903" s="140"/>
      <c r="V903" s="140"/>
      <c r="W903" s="140"/>
      <c r="X903" s="140"/>
      <c r="Y903" s="140"/>
      <c r="Z903" s="140"/>
    </row>
    <row r="904" spans="1:26" ht="15.75" customHeight="1">
      <c r="A904" s="142"/>
      <c r="B904" s="141"/>
      <c r="C904" s="142"/>
      <c r="D904" s="142"/>
      <c r="E904" s="86"/>
      <c r="F904" s="86"/>
      <c r="G904" s="140"/>
      <c r="H904" s="140"/>
      <c r="I904" s="140"/>
      <c r="J904" s="140"/>
      <c r="K904" s="140"/>
      <c r="L904" s="140"/>
      <c r="M904" s="140"/>
      <c r="N904" s="140"/>
      <c r="O904" s="140"/>
      <c r="P904" s="140"/>
      <c r="Q904" s="140"/>
      <c r="R904" s="140"/>
      <c r="S904" s="140"/>
      <c r="T904" s="140"/>
      <c r="U904" s="140"/>
      <c r="V904" s="140"/>
      <c r="W904" s="140"/>
      <c r="X904" s="140"/>
      <c r="Y904" s="140"/>
      <c r="Z904" s="140"/>
    </row>
    <row r="905" spans="1:26" ht="15.75" customHeight="1">
      <c r="A905" s="142"/>
      <c r="B905" s="141"/>
      <c r="C905" s="142"/>
      <c r="D905" s="142"/>
      <c r="E905" s="86"/>
      <c r="F905" s="86"/>
      <c r="G905" s="140"/>
      <c r="H905" s="140"/>
      <c r="I905" s="140"/>
      <c r="J905" s="140"/>
      <c r="K905" s="140"/>
      <c r="L905" s="140"/>
      <c r="M905" s="140"/>
      <c r="N905" s="140"/>
      <c r="O905" s="140"/>
      <c r="P905" s="140"/>
      <c r="Q905" s="140"/>
      <c r="R905" s="140"/>
      <c r="S905" s="140"/>
      <c r="T905" s="140"/>
      <c r="U905" s="140"/>
      <c r="V905" s="140"/>
      <c r="W905" s="140"/>
      <c r="X905" s="140"/>
      <c r="Y905" s="140"/>
      <c r="Z905" s="140"/>
    </row>
    <row r="906" spans="1:26" ht="15.75" customHeight="1">
      <c r="A906" s="142"/>
      <c r="B906" s="141"/>
      <c r="C906" s="142"/>
      <c r="D906" s="142"/>
      <c r="E906" s="86"/>
      <c r="F906" s="86"/>
      <c r="G906" s="140"/>
      <c r="H906" s="140"/>
      <c r="I906" s="140"/>
      <c r="J906" s="140"/>
      <c r="K906" s="140"/>
      <c r="L906" s="140"/>
      <c r="M906" s="140"/>
      <c r="N906" s="140"/>
      <c r="O906" s="140"/>
      <c r="P906" s="140"/>
      <c r="Q906" s="140"/>
      <c r="R906" s="140"/>
      <c r="S906" s="140"/>
      <c r="T906" s="140"/>
      <c r="U906" s="140"/>
      <c r="V906" s="140"/>
      <c r="W906" s="140"/>
      <c r="X906" s="140"/>
      <c r="Y906" s="140"/>
      <c r="Z906" s="140"/>
    </row>
    <row r="907" spans="1:26" ht="15.75" customHeight="1">
      <c r="A907" s="142"/>
      <c r="B907" s="141"/>
      <c r="C907" s="142"/>
      <c r="D907" s="142"/>
      <c r="E907" s="86"/>
      <c r="F907" s="86"/>
      <c r="G907" s="140"/>
      <c r="H907" s="140"/>
      <c r="I907" s="140"/>
      <c r="J907" s="140"/>
      <c r="K907" s="140"/>
      <c r="L907" s="140"/>
      <c r="M907" s="140"/>
      <c r="N907" s="140"/>
      <c r="O907" s="140"/>
      <c r="P907" s="140"/>
      <c r="Q907" s="140"/>
      <c r="R907" s="140"/>
      <c r="S907" s="140"/>
      <c r="T907" s="140"/>
      <c r="U907" s="140"/>
      <c r="V907" s="140"/>
      <c r="W907" s="140"/>
      <c r="X907" s="140"/>
      <c r="Y907" s="140"/>
      <c r="Z907" s="140"/>
    </row>
    <row r="908" spans="1:26" ht="15.75" customHeight="1">
      <c r="A908" s="142"/>
      <c r="B908" s="141"/>
      <c r="C908" s="142"/>
      <c r="D908" s="142"/>
      <c r="E908" s="86"/>
      <c r="F908" s="86"/>
      <c r="G908" s="140"/>
      <c r="H908" s="140"/>
      <c r="I908" s="140"/>
      <c r="J908" s="140"/>
      <c r="K908" s="140"/>
      <c r="L908" s="140"/>
      <c r="M908" s="140"/>
      <c r="N908" s="140"/>
      <c r="O908" s="140"/>
      <c r="P908" s="140"/>
      <c r="Q908" s="140"/>
      <c r="R908" s="140"/>
      <c r="S908" s="140"/>
      <c r="T908" s="140"/>
      <c r="U908" s="140"/>
      <c r="V908" s="140"/>
      <c r="W908" s="140"/>
      <c r="X908" s="140"/>
      <c r="Y908" s="140"/>
      <c r="Z908" s="140"/>
    </row>
    <row r="909" spans="1:26" ht="15.75" customHeight="1">
      <c r="A909" s="142"/>
      <c r="B909" s="141"/>
      <c r="C909" s="142"/>
      <c r="D909" s="142"/>
      <c r="E909" s="86"/>
      <c r="F909" s="86"/>
      <c r="G909" s="140"/>
      <c r="H909" s="140"/>
      <c r="I909" s="140"/>
      <c r="J909" s="140"/>
      <c r="K909" s="140"/>
      <c r="L909" s="140"/>
      <c r="M909" s="140"/>
      <c r="N909" s="140"/>
      <c r="O909" s="140"/>
      <c r="P909" s="140"/>
      <c r="Q909" s="140"/>
      <c r="R909" s="140"/>
      <c r="S909" s="140"/>
      <c r="T909" s="140"/>
      <c r="U909" s="140"/>
      <c r="V909" s="140"/>
      <c r="W909" s="140"/>
      <c r="X909" s="140"/>
      <c r="Y909" s="140"/>
      <c r="Z909" s="140"/>
    </row>
    <row r="910" spans="1:26" ht="15.75" customHeight="1">
      <c r="A910" s="142"/>
      <c r="B910" s="141"/>
      <c r="C910" s="142"/>
      <c r="D910" s="142"/>
      <c r="E910" s="86"/>
      <c r="F910" s="86"/>
      <c r="G910" s="140"/>
      <c r="H910" s="140"/>
      <c r="I910" s="140"/>
      <c r="J910" s="140"/>
      <c r="K910" s="140"/>
      <c r="L910" s="140"/>
      <c r="M910" s="140"/>
      <c r="N910" s="140"/>
      <c r="O910" s="140"/>
      <c r="P910" s="140"/>
      <c r="Q910" s="140"/>
      <c r="R910" s="140"/>
      <c r="S910" s="140"/>
      <c r="T910" s="140"/>
      <c r="U910" s="140"/>
      <c r="V910" s="140"/>
      <c r="W910" s="140"/>
      <c r="X910" s="140"/>
      <c r="Y910" s="140"/>
      <c r="Z910" s="140"/>
    </row>
    <row r="911" spans="1:26" ht="15.75" customHeight="1">
      <c r="A911" s="142"/>
      <c r="B911" s="141"/>
      <c r="C911" s="142"/>
      <c r="D911" s="142"/>
      <c r="E911" s="86"/>
      <c r="F911" s="86"/>
      <c r="G911" s="140"/>
      <c r="H911" s="140"/>
      <c r="I911" s="140"/>
      <c r="J911" s="140"/>
      <c r="K911" s="140"/>
      <c r="L911" s="140"/>
      <c r="M911" s="140"/>
      <c r="N911" s="140"/>
      <c r="O911" s="140"/>
      <c r="P911" s="140"/>
      <c r="Q911" s="140"/>
      <c r="R911" s="140"/>
      <c r="S911" s="140"/>
      <c r="T911" s="140"/>
      <c r="U911" s="140"/>
      <c r="V911" s="140"/>
      <c r="W911" s="140"/>
      <c r="X911" s="140"/>
      <c r="Y911" s="140"/>
      <c r="Z911" s="140"/>
    </row>
    <row r="912" spans="1:26" ht="15.75" customHeight="1">
      <c r="A912" s="142"/>
      <c r="B912" s="141"/>
      <c r="C912" s="142"/>
      <c r="D912" s="142"/>
      <c r="E912" s="86"/>
      <c r="F912" s="86"/>
      <c r="G912" s="140"/>
      <c r="H912" s="140"/>
      <c r="I912" s="140"/>
      <c r="J912" s="140"/>
      <c r="K912" s="140"/>
      <c r="L912" s="140"/>
      <c r="M912" s="140"/>
      <c r="N912" s="140"/>
      <c r="O912" s="140"/>
      <c r="P912" s="140"/>
      <c r="Q912" s="140"/>
      <c r="R912" s="140"/>
      <c r="S912" s="140"/>
      <c r="T912" s="140"/>
      <c r="U912" s="140"/>
      <c r="V912" s="140"/>
      <c r="W912" s="140"/>
      <c r="X912" s="140"/>
      <c r="Y912" s="140"/>
      <c r="Z912" s="140"/>
    </row>
    <row r="913" spans="1:26" ht="15.75" customHeight="1">
      <c r="A913" s="142"/>
      <c r="B913" s="141"/>
      <c r="C913" s="142"/>
      <c r="D913" s="142"/>
      <c r="E913" s="86"/>
      <c r="F913" s="86"/>
      <c r="G913" s="140"/>
      <c r="H913" s="140"/>
      <c r="I913" s="140"/>
      <c r="J913" s="140"/>
      <c r="K913" s="140"/>
      <c r="L913" s="140"/>
      <c r="M913" s="140"/>
      <c r="N913" s="140"/>
      <c r="O913" s="140"/>
      <c r="P913" s="140"/>
      <c r="Q913" s="140"/>
      <c r="R913" s="140"/>
      <c r="S913" s="140"/>
      <c r="T913" s="140"/>
      <c r="U913" s="140"/>
      <c r="V913" s="140"/>
      <c r="W913" s="140"/>
      <c r="X913" s="140"/>
      <c r="Y913" s="140"/>
      <c r="Z913" s="140"/>
    </row>
    <row r="914" spans="1:26" ht="15.75" customHeight="1">
      <c r="A914" s="142"/>
      <c r="B914" s="141"/>
      <c r="C914" s="142"/>
      <c r="D914" s="142"/>
      <c r="E914" s="86"/>
      <c r="F914" s="86"/>
      <c r="G914" s="140"/>
      <c r="H914" s="140"/>
      <c r="I914" s="140"/>
      <c r="J914" s="140"/>
      <c r="K914" s="140"/>
      <c r="L914" s="140"/>
      <c r="M914" s="140"/>
      <c r="N914" s="140"/>
      <c r="O914" s="140"/>
      <c r="P914" s="140"/>
      <c r="Q914" s="140"/>
      <c r="R914" s="140"/>
      <c r="S914" s="140"/>
      <c r="T914" s="140"/>
      <c r="U914" s="140"/>
      <c r="V914" s="140"/>
      <c r="W914" s="140"/>
      <c r="X914" s="140"/>
      <c r="Y914" s="140"/>
      <c r="Z914" s="140"/>
    </row>
    <row r="915" spans="1:26" ht="15.75" customHeight="1">
      <c r="A915" s="142"/>
      <c r="B915" s="141"/>
      <c r="C915" s="142"/>
      <c r="D915" s="142"/>
      <c r="E915" s="86"/>
      <c r="F915" s="86"/>
      <c r="G915" s="140"/>
      <c r="H915" s="140"/>
      <c r="I915" s="140"/>
      <c r="J915" s="140"/>
      <c r="K915" s="140"/>
      <c r="L915" s="140"/>
      <c r="M915" s="140"/>
      <c r="N915" s="140"/>
      <c r="O915" s="140"/>
      <c r="P915" s="140"/>
      <c r="Q915" s="140"/>
      <c r="R915" s="140"/>
      <c r="S915" s="140"/>
      <c r="T915" s="140"/>
      <c r="U915" s="140"/>
      <c r="V915" s="140"/>
      <c r="W915" s="140"/>
      <c r="X915" s="140"/>
      <c r="Y915" s="140"/>
      <c r="Z915" s="140"/>
    </row>
    <row r="916" spans="1:26" ht="15.75" customHeight="1">
      <c r="A916" s="142"/>
      <c r="B916" s="141"/>
      <c r="C916" s="142"/>
      <c r="D916" s="142"/>
      <c r="E916" s="86"/>
      <c r="F916" s="86"/>
      <c r="G916" s="140"/>
      <c r="H916" s="140"/>
      <c r="I916" s="140"/>
      <c r="J916" s="140"/>
      <c r="K916" s="140"/>
      <c r="L916" s="140"/>
      <c r="M916" s="140"/>
      <c r="N916" s="140"/>
      <c r="O916" s="140"/>
      <c r="P916" s="140"/>
      <c r="Q916" s="140"/>
      <c r="R916" s="140"/>
      <c r="S916" s="140"/>
      <c r="T916" s="140"/>
      <c r="U916" s="140"/>
      <c r="V916" s="140"/>
      <c r="W916" s="140"/>
      <c r="X916" s="140"/>
      <c r="Y916" s="140"/>
      <c r="Z916" s="140"/>
    </row>
    <row r="917" spans="1:26" ht="15.75" customHeight="1">
      <c r="A917" s="142"/>
      <c r="B917" s="141"/>
      <c r="C917" s="142"/>
      <c r="D917" s="142"/>
      <c r="E917" s="86"/>
      <c r="F917" s="86"/>
      <c r="G917" s="140"/>
      <c r="H917" s="140"/>
      <c r="I917" s="140"/>
      <c r="J917" s="140"/>
      <c r="K917" s="140"/>
      <c r="L917" s="140"/>
      <c r="M917" s="140"/>
      <c r="N917" s="140"/>
      <c r="O917" s="140"/>
      <c r="P917" s="140"/>
      <c r="Q917" s="140"/>
      <c r="R917" s="140"/>
      <c r="S917" s="140"/>
      <c r="T917" s="140"/>
      <c r="U917" s="140"/>
      <c r="V917" s="140"/>
      <c r="W917" s="140"/>
      <c r="X917" s="140"/>
      <c r="Y917" s="140"/>
      <c r="Z917" s="140"/>
    </row>
    <row r="918" spans="1:26" ht="15.75" customHeight="1">
      <c r="A918" s="142"/>
      <c r="B918" s="141"/>
      <c r="C918" s="142"/>
      <c r="D918" s="142"/>
      <c r="E918" s="86"/>
      <c r="F918" s="86"/>
      <c r="G918" s="140"/>
      <c r="H918" s="140"/>
      <c r="I918" s="140"/>
      <c r="J918" s="140"/>
      <c r="K918" s="140"/>
      <c r="L918" s="140"/>
      <c r="M918" s="140"/>
      <c r="N918" s="140"/>
      <c r="O918" s="140"/>
      <c r="P918" s="140"/>
      <c r="Q918" s="140"/>
      <c r="R918" s="140"/>
      <c r="S918" s="140"/>
      <c r="T918" s="140"/>
      <c r="U918" s="140"/>
      <c r="V918" s="140"/>
      <c r="W918" s="140"/>
      <c r="X918" s="140"/>
      <c r="Y918" s="140"/>
      <c r="Z918" s="140"/>
    </row>
    <row r="919" spans="1:26" ht="15.75" customHeight="1">
      <c r="A919" s="142"/>
      <c r="B919" s="141"/>
      <c r="C919" s="142"/>
      <c r="D919" s="142"/>
      <c r="E919" s="86"/>
      <c r="F919" s="86"/>
      <c r="G919" s="140"/>
      <c r="H919" s="140"/>
      <c r="I919" s="140"/>
      <c r="J919" s="140"/>
      <c r="K919" s="140"/>
      <c r="L919" s="140"/>
      <c r="M919" s="140"/>
      <c r="N919" s="140"/>
      <c r="O919" s="140"/>
      <c r="P919" s="140"/>
      <c r="Q919" s="140"/>
      <c r="R919" s="140"/>
      <c r="S919" s="140"/>
      <c r="T919" s="140"/>
      <c r="U919" s="140"/>
      <c r="V919" s="140"/>
      <c r="W919" s="140"/>
      <c r="X919" s="140"/>
      <c r="Y919" s="140"/>
      <c r="Z919" s="140"/>
    </row>
    <row r="920" spans="1:26" ht="15.75" customHeight="1">
      <c r="A920" s="142"/>
      <c r="B920" s="141"/>
      <c r="C920" s="142"/>
      <c r="D920" s="142"/>
      <c r="E920" s="86"/>
      <c r="F920" s="86"/>
      <c r="G920" s="140"/>
      <c r="H920" s="140"/>
      <c r="I920" s="140"/>
      <c r="J920" s="140"/>
      <c r="K920" s="140"/>
      <c r="L920" s="140"/>
      <c r="M920" s="140"/>
      <c r="N920" s="140"/>
      <c r="O920" s="140"/>
      <c r="P920" s="140"/>
      <c r="Q920" s="140"/>
      <c r="R920" s="140"/>
      <c r="S920" s="140"/>
      <c r="T920" s="140"/>
      <c r="U920" s="140"/>
      <c r="V920" s="140"/>
      <c r="W920" s="140"/>
      <c r="X920" s="140"/>
      <c r="Y920" s="140"/>
      <c r="Z920" s="140"/>
    </row>
    <row r="921" spans="1:26" ht="15.75" customHeight="1">
      <c r="A921" s="142"/>
      <c r="B921" s="141"/>
      <c r="C921" s="142"/>
      <c r="D921" s="142"/>
      <c r="E921" s="86"/>
      <c r="F921" s="86"/>
      <c r="G921" s="140"/>
      <c r="H921" s="140"/>
      <c r="I921" s="140"/>
      <c r="J921" s="140"/>
      <c r="K921" s="140"/>
      <c r="L921" s="140"/>
      <c r="M921" s="140"/>
      <c r="N921" s="140"/>
      <c r="O921" s="140"/>
      <c r="P921" s="140"/>
      <c r="Q921" s="140"/>
      <c r="R921" s="140"/>
      <c r="S921" s="140"/>
      <c r="T921" s="140"/>
      <c r="U921" s="140"/>
      <c r="V921" s="140"/>
      <c r="W921" s="140"/>
      <c r="X921" s="140"/>
      <c r="Y921" s="140"/>
      <c r="Z921" s="140"/>
    </row>
    <row r="922" spans="1:26" ht="15.75" customHeight="1">
      <c r="A922" s="142"/>
      <c r="B922" s="141"/>
      <c r="C922" s="142"/>
      <c r="D922" s="142"/>
      <c r="E922" s="86"/>
      <c r="F922" s="86"/>
      <c r="G922" s="140"/>
      <c r="H922" s="140"/>
      <c r="I922" s="140"/>
      <c r="J922" s="140"/>
      <c r="K922" s="140"/>
      <c r="L922" s="140"/>
      <c r="M922" s="140"/>
      <c r="N922" s="140"/>
      <c r="O922" s="140"/>
      <c r="P922" s="140"/>
      <c r="Q922" s="140"/>
      <c r="R922" s="140"/>
      <c r="S922" s="140"/>
      <c r="T922" s="140"/>
      <c r="U922" s="140"/>
      <c r="V922" s="140"/>
      <c r="W922" s="140"/>
      <c r="X922" s="140"/>
      <c r="Y922" s="140"/>
      <c r="Z922" s="140"/>
    </row>
    <row r="923" spans="1:26" ht="15.75" customHeight="1">
      <c r="A923" s="142"/>
      <c r="B923" s="141"/>
      <c r="C923" s="142"/>
      <c r="D923" s="142"/>
      <c r="E923" s="86"/>
      <c r="F923" s="86"/>
      <c r="G923" s="140"/>
      <c r="H923" s="140"/>
      <c r="I923" s="140"/>
      <c r="J923" s="140"/>
      <c r="K923" s="140"/>
      <c r="L923" s="140"/>
      <c r="M923" s="140"/>
      <c r="N923" s="140"/>
      <c r="O923" s="140"/>
      <c r="P923" s="140"/>
      <c r="Q923" s="140"/>
      <c r="R923" s="140"/>
      <c r="S923" s="140"/>
      <c r="T923" s="140"/>
      <c r="U923" s="140"/>
      <c r="V923" s="140"/>
      <c r="W923" s="140"/>
      <c r="X923" s="140"/>
      <c r="Y923" s="140"/>
      <c r="Z923" s="140"/>
    </row>
    <row r="924" spans="1:26" ht="15.75" customHeight="1">
      <c r="A924" s="142"/>
      <c r="B924" s="141"/>
      <c r="C924" s="142"/>
      <c r="D924" s="142"/>
      <c r="E924" s="86"/>
      <c r="F924" s="86"/>
      <c r="G924" s="140"/>
      <c r="H924" s="140"/>
      <c r="I924" s="140"/>
      <c r="J924" s="140"/>
      <c r="K924" s="140"/>
      <c r="L924" s="140"/>
      <c r="M924" s="140"/>
      <c r="N924" s="140"/>
      <c r="O924" s="140"/>
      <c r="P924" s="140"/>
      <c r="Q924" s="140"/>
      <c r="R924" s="140"/>
      <c r="S924" s="140"/>
      <c r="T924" s="140"/>
      <c r="U924" s="140"/>
      <c r="V924" s="140"/>
      <c r="W924" s="140"/>
      <c r="X924" s="140"/>
      <c r="Y924" s="140"/>
      <c r="Z924" s="140"/>
    </row>
    <row r="925" spans="1:26" ht="15.75" customHeight="1">
      <c r="A925" s="142"/>
      <c r="B925" s="141"/>
      <c r="C925" s="142"/>
      <c r="D925" s="142"/>
      <c r="E925" s="86"/>
      <c r="F925" s="86"/>
      <c r="G925" s="140"/>
      <c r="H925" s="140"/>
      <c r="I925" s="140"/>
      <c r="J925" s="140"/>
      <c r="K925" s="140"/>
      <c r="L925" s="140"/>
      <c r="M925" s="140"/>
      <c r="N925" s="140"/>
      <c r="O925" s="140"/>
      <c r="P925" s="140"/>
      <c r="Q925" s="140"/>
      <c r="R925" s="140"/>
      <c r="S925" s="140"/>
      <c r="T925" s="140"/>
      <c r="U925" s="140"/>
      <c r="V925" s="140"/>
      <c r="W925" s="140"/>
      <c r="X925" s="140"/>
      <c r="Y925" s="140"/>
      <c r="Z925" s="140"/>
    </row>
    <row r="926" spans="1:26" ht="15.75" customHeight="1">
      <c r="A926" s="142"/>
      <c r="B926" s="141"/>
      <c r="C926" s="142"/>
      <c r="D926" s="142"/>
      <c r="E926" s="86"/>
      <c r="F926" s="86"/>
      <c r="G926" s="140"/>
      <c r="H926" s="140"/>
      <c r="I926" s="140"/>
      <c r="J926" s="140"/>
      <c r="K926" s="140"/>
      <c r="L926" s="140"/>
      <c r="M926" s="140"/>
      <c r="N926" s="140"/>
      <c r="O926" s="140"/>
      <c r="P926" s="140"/>
      <c r="Q926" s="140"/>
      <c r="R926" s="140"/>
      <c r="S926" s="140"/>
      <c r="T926" s="140"/>
      <c r="U926" s="140"/>
      <c r="V926" s="140"/>
      <c r="W926" s="140"/>
      <c r="X926" s="140"/>
      <c r="Y926" s="140"/>
      <c r="Z926" s="140"/>
    </row>
    <row r="927" spans="1:26" ht="15.75" customHeight="1">
      <c r="A927" s="142"/>
      <c r="B927" s="141"/>
      <c r="C927" s="142"/>
      <c r="D927" s="142"/>
      <c r="E927" s="86"/>
      <c r="F927" s="86"/>
      <c r="G927" s="140"/>
      <c r="H927" s="140"/>
      <c r="I927" s="140"/>
      <c r="J927" s="140"/>
      <c r="K927" s="140"/>
      <c r="L927" s="140"/>
      <c r="M927" s="140"/>
      <c r="N927" s="140"/>
      <c r="O927" s="140"/>
      <c r="P927" s="140"/>
      <c r="Q927" s="140"/>
      <c r="R927" s="140"/>
      <c r="S927" s="140"/>
      <c r="T927" s="140"/>
      <c r="U927" s="140"/>
      <c r="V927" s="140"/>
      <c r="W927" s="140"/>
      <c r="X927" s="140"/>
      <c r="Y927" s="140"/>
      <c r="Z927" s="140"/>
    </row>
    <row r="928" spans="1:26" ht="15.75" customHeight="1">
      <c r="A928" s="142"/>
      <c r="B928" s="141"/>
      <c r="C928" s="142"/>
      <c r="D928" s="142"/>
      <c r="E928" s="86"/>
      <c r="F928" s="86"/>
      <c r="G928" s="140"/>
      <c r="H928" s="140"/>
      <c r="I928" s="140"/>
      <c r="J928" s="140"/>
      <c r="K928" s="140"/>
      <c r="L928" s="140"/>
      <c r="M928" s="140"/>
      <c r="N928" s="140"/>
      <c r="O928" s="140"/>
      <c r="P928" s="140"/>
      <c r="Q928" s="140"/>
      <c r="R928" s="140"/>
      <c r="S928" s="140"/>
      <c r="T928" s="140"/>
      <c r="U928" s="140"/>
      <c r="V928" s="140"/>
      <c r="W928" s="140"/>
      <c r="X928" s="140"/>
      <c r="Y928" s="140"/>
      <c r="Z928" s="140"/>
    </row>
    <row r="929" spans="1:26" ht="15.75" customHeight="1">
      <c r="A929" s="142"/>
      <c r="B929" s="141"/>
      <c r="C929" s="142"/>
      <c r="D929" s="142"/>
      <c r="E929" s="86"/>
      <c r="F929" s="86"/>
      <c r="G929" s="140"/>
      <c r="H929" s="140"/>
      <c r="I929" s="140"/>
      <c r="J929" s="140"/>
      <c r="K929" s="140"/>
      <c r="L929" s="140"/>
      <c r="M929" s="140"/>
      <c r="N929" s="140"/>
      <c r="O929" s="140"/>
      <c r="P929" s="140"/>
      <c r="Q929" s="140"/>
      <c r="R929" s="140"/>
      <c r="S929" s="140"/>
      <c r="T929" s="140"/>
      <c r="U929" s="140"/>
      <c r="V929" s="140"/>
      <c r="W929" s="140"/>
      <c r="X929" s="140"/>
      <c r="Y929" s="140"/>
      <c r="Z929" s="140"/>
    </row>
    <row r="930" spans="1:26" ht="15.75" customHeight="1">
      <c r="A930" s="142"/>
      <c r="B930" s="141"/>
      <c r="C930" s="142"/>
      <c r="D930" s="142"/>
      <c r="E930" s="86"/>
      <c r="F930" s="86"/>
      <c r="G930" s="140"/>
      <c r="H930" s="140"/>
      <c r="I930" s="140"/>
      <c r="J930" s="140"/>
      <c r="K930" s="140"/>
      <c r="L930" s="140"/>
      <c r="M930" s="140"/>
      <c r="N930" s="140"/>
      <c r="O930" s="140"/>
      <c r="P930" s="140"/>
      <c r="Q930" s="140"/>
      <c r="R930" s="140"/>
      <c r="S930" s="140"/>
      <c r="T930" s="140"/>
      <c r="U930" s="140"/>
      <c r="V930" s="140"/>
      <c r="W930" s="140"/>
      <c r="X930" s="140"/>
      <c r="Y930" s="140"/>
      <c r="Z930" s="140"/>
    </row>
    <row r="931" spans="1:26" ht="15.75" customHeight="1">
      <c r="A931" s="142"/>
      <c r="B931" s="141"/>
      <c r="C931" s="142"/>
      <c r="D931" s="142"/>
      <c r="E931" s="86"/>
      <c r="F931" s="86"/>
      <c r="G931" s="140"/>
      <c r="H931" s="140"/>
      <c r="I931" s="140"/>
      <c r="J931" s="140"/>
      <c r="K931" s="140"/>
      <c r="L931" s="140"/>
      <c r="M931" s="140"/>
      <c r="N931" s="140"/>
      <c r="O931" s="140"/>
      <c r="P931" s="140"/>
      <c r="Q931" s="140"/>
      <c r="R931" s="140"/>
      <c r="S931" s="140"/>
      <c r="T931" s="140"/>
      <c r="U931" s="140"/>
      <c r="V931" s="140"/>
      <c r="W931" s="140"/>
      <c r="X931" s="140"/>
      <c r="Y931" s="140"/>
      <c r="Z931" s="140"/>
    </row>
    <row r="932" spans="1:26" ht="15.75" customHeight="1">
      <c r="A932" s="142"/>
      <c r="B932" s="141"/>
      <c r="C932" s="142"/>
      <c r="D932" s="142"/>
      <c r="E932" s="86"/>
      <c r="F932" s="86"/>
      <c r="G932" s="140"/>
      <c r="H932" s="140"/>
      <c r="I932" s="140"/>
      <c r="J932" s="140"/>
      <c r="K932" s="140"/>
      <c r="L932" s="140"/>
      <c r="M932" s="140"/>
      <c r="N932" s="140"/>
      <c r="O932" s="140"/>
      <c r="P932" s="140"/>
      <c r="Q932" s="140"/>
      <c r="R932" s="140"/>
      <c r="S932" s="140"/>
      <c r="T932" s="140"/>
      <c r="U932" s="140"/>
      <c r="V932" s="140"/>
      <c r="W932" s="140"/>
      <c r="X932" s="140"/>
      <c r="Y932" s="140"/>
      <c r="Z932" s="140"/>
    </row>
    <row r="933" spans="1:26" ht="15.75" customHeight="1">
      <c r="A933" s="142"/>
      <c r="B933" s="141"/>
      <c r="C933" s="142"/>
      <c r="D933" s="142"/>
      <c r="E933" s="86"/>
      <c r="F933" s="86"/>
      <c r="G933" s="140"/>
      <c r="H933" s="140"/>
      <c r="I933" s="140"/>
      <c r="J933" s="140"/>
      <c r="K933" s="140"/>
      <c r="L933" s="140"/>
      <c r="M933" s="140"/>
      <c r="N933" s="140"/>
      <c r="O933" s="140"/>
      <c r="P933" s="140"/>
      <c r="Q933" s="140"/>
      <c r="R933" s="140"/>
      <c r="S933" s="140"/>
      <c r="T933" s="140"/>
      <c r="U933" s="140"/>
      <c r="V933" s="140"/>
      <c r="W933" s="140"/>
      <c r="X933" s="140"/>
      <c r="Y933" s="140"/>
      <c r="Z933" s="140"/>
    </row>
    <row r="934" spans="1:26" ht="15.75" customHeight="1">
      <c r="A934" s="142"/>
      <c r="B934" s="141"/>
      <c r="C934" s="142"/>
      <c r="D934" s="142"/>
      <c r="E934" s="86"/>
      <c r="F934" s="86"/>
      <c r="G934" s="140"/>
      <c r="H934" s="140"/>
      <c r="I934" s="140"/>
      <c r="J934" s="140"/>
      <c r="K934" s="140"/>
      <c r="L934" s="140"/>
      <c r="M934" s="140"/>
      <c r="N934" s="140"/>
      <c r="O934" s="140"/>
      <c r="P934" s="140"/>
      <c r="Q934" s="140"/>
      <c r="R934" s="140"/>
      <c r="S934" s="140"/>
      <c r="T934" s="140"/>
      <c r="U934" s="140"/>
      <c r="V934" s="140"/>
      <c r="W934" s="140"/>
      <c r="X934" s="140"/>
      <c r="Y934" s="140"/>
      <c r="Z934" s="140"/>
    </row>
    <row r="935" spans="1:26" ht="15.75" customHeight="1">
      <c r="A935" s="142"/>
      <c r="B935" s="141"/>
      <c r="C935" s="142"/>
      <c r="D935" s="142"/>
      <c r="E935" s="86"/>
      <c r="F935" s="86"/>
      <c r="G935" s="140"/>
      <c r="H935" s="140"/>
      <c r="I935" s="140"/>
      <c r="J935" s="140"/>
      <c r="K935" s="140"/>
      <c r="L935" s="140"/>
      <c r="M935" s="140"/>
      <c r="N935" s="140"/>
      <c r="O935" s="140"/>
      <c r="P935" s="140"/>
      <c r="Q935" s="140"/>
      <c r="R935" s="140"/>
      <c r="S935" s="140"/>
      <c r="T935" s="140"/>
      <c r="U935" s="140"/>
      <c r="V935" s="140"/>
      <c r="W935" s="140"/>
      <c r="X935" s="140"/>
      <c r="Y935" s="140"/>
      <c r="Z935" s="140"/>
    </row>
    <row r="936" spans="1:26" ht="15.75" customHeight="1">
      <c r="A936" s="142"/>
      <c r="B936" s="141"/>
      <c r="C936" s="142"/>
      <c r="D936" s="142"/>
      <c r="E936" s="86"/>
      <c r="F936" s="86"/>
      <c r="G936" s="140"/>
      <c r="H936" s="140"/>
      <c r="I936" s="140"/>
      <c r="J936" s="140"/>
      <c r="K936" s="140"/>
      <c r="L936" s="140"/>
      <c r="M936" s="140"/>
      <c r="N936" s="140"/>
      <c r="O936" s="140"/>
      <c r="P936" s="140"/>
      <c r="Q936" s="140"/>
      <c r="R936" s="140"/>
      <c r="S936" s="140"/>
      <c r="T936" s="140"/>
      <c r="U936" s="140"/>
      <c r="V936" s="140"/>
      <c r="W936" s="140"/>
      <c r="X936" s="140"/>
      <c r="Y936" s="140"/>
      <c r="Z936" s="140"/>
    </row>
    <row r="937" spans="1:26" ht="15.75" customHeight="1">
      <c r="A937" s="142"/>
      <c r="B937" s="141"/>
      <c r="C937" s="142"/>
      <c r="D937" s="142"/>
      <c r="E937" s="86"/>
      <c r="F937" s="86"/>
      <c r="G937" s="140"/>
      <c r="H937" s="140"/>
      <c r="I937" s="140"/>
      <c r="J937" s="140"/>
      <c r="K937" s="140"/>
      <c r="L937" s="140"/>
      <c r="M937" s="140"/>
      <c r="N937" s="140"/>
      <c r="O937" s="140"/>
      <c r="P937" s="140"/>
      <c r="Q937" s="140"/>
      <c r="R937" s="140"/>
      <c r="S937" s="140"/>
      <c r="T937" s="140"/>
      <c r="U937" s="140"/>
      <c r="V937" s="140"/>
      <c r="W937" s="140"/>
      <c r="X937" s="140"/>
      <c r="Y937" s="140"/>
      <c r="Z937" s="140"/>
    </row>
    <row r="938" spans="1:26" ht="15.75" customHeight="1">
      <c r="A938" s="142"/>
      <c r="B938" s="141"/>
      <c r="C938" s="142"/>
      <c r="D938" s="142"/>
      <c r="E938" s="86"/>
      <c r="F938" s="86"/>
      <c r="G938" s="140"/>
      <c r="H938" s="140"/>
      <c r="I938" s="140"/>
      <c r="J938" s="140"/>
      <c r="K938" s="140"/>
      <c r="L938" s="140"/>
      <c r="M938" s="140"/>
      <c r="N938" s="140"/>
      <c r="O938" s="140"/>
      <c r="P938" s="140"/>
      <c r="Q938" s="140"/>
      <c r="R938" s="140"/>
      <c r="S938" s="140"/>
      <c r="T938" s="140"/>
      <c r="U938" s="140"/>
      <c r="V938" s="140"/>
      <c r="W938" s="140"/>
      <c r="X938" s="140"/>
      <c r="Y938" s="140"/>
      <c r="Z938" s="140"/>
    </row>
    <row r="939" spans="1:26" ht="15.75" customHeight="1">
      <c r="A939" s="142"/>
      <c r="B939" s="141"/>
      <c r="C939" s="142"/>
      <c r="D939" s="142"/>
      <c r="E939" s="86"/>
      <c r="F939" s="86"/>
      <c r="G939" s="140"/>
      <c r="H939" s="140"/>
      <c r="I939" s="140"/>
      <c r="J939" s="140"/>
      <c r="K939" s="140"/>
      <c r="L939" s="140"/>
      <c r="M939" s="140"/>
      <c r="N939" s="140"/>
      <c r="O939" s="140"/>
      <c r="P939" s="140"/>
      <c r="Q939" s="140"/>
      <c r="R939" s="140"/>
      <c r="S939" s="140"/>
      <c r="T939" s="140"/>
      <c r="U939" s="140"/>
      <c r="V939" s="140"/>
      <c r="W939" s="140"/>
      <c r="X939" s="140"/>
      <c r="Y939" s="140"/>
      <c r="Z939" s="140"/>
    </row>
    <row r="940" spans="1:26" ht="15.75" customHeight="1">
      <c r="A940" s="142"/>
      <c r="B940" s="141"/>
      <c r="C940" s="142"/>
      <c r="D940" s="142"/>
      <c r="E940" s="86"/>
      <c r="F940" s="86"/>
      <c r="G940" s="140"/>
      <c r="H940" s="140"/>
      <c r="I940" s="140"/>
      <c r="J940" s="140"/>
      <c r="K940" s="140"/>
      <c r="L940" s="140"/>
      <c r="M940" s="140"/>
      <c r="N940" s="140"/>
      <c r="O940" s="140"/>
      <c r="P940" s="140"/>
      <c r="Q940" s="140"/>
      <c r="R940" s="140"/>
      <c r="S940" s="140"/>
      <c r="T940" s="140"/>
      <c r="U940" s="140"/>
      <c r="V940" s="140"/>
      <c r="W940" s="140"/>
      <c r="X940" s="140"/>
      <c r="Y940" s="140"/>
      <c r="Z940" s="140"/>
    </row>
    <row r="941" spans="1:26" ht="15.75" customHeight="1">
      <c r="A941" s="142"/>
      <c r="B941" s="141"/>
      <c r="C941" s="142"/>
      <c r="D941" s="142"/>
      <c r="E941" s="86"/>
      <c r="F941" s="86"/>
      <c r="G941" s="140"/>
      <c r="H941" s="140"/>
      <c r="I941" s="140"/>
      <c r="J941" s="140"/>
      <c r="K941" s="140"/>
      <c r="L941" s="140"/>
      <c r="M941" s="140"/>
      <c r="N941" s="140"/>
      <c r="O941" s="140"/>
      <c r="P941" s="140"/>
      <c r="Q941" s="140"/>
      <c r="R941" s="140"/>
      <c r="S941" s="140"/>
      <c r="T941" s="140"/>
      <c r="U941" s="140"/>
      <c r="V941" s="140"/>
      <c r="W941" s="140"/>
      <c r="X941" s="140"/>
      <c r="Y941" s="140"/>
      <c r="Z941" s="140"/>
    </row>
    <row r="942" spans="1:26" ht="15.75" customHeight="1">
      <c r="A942" s="142"/>
      <c r="B942" s="141"/>
      <c r="C942" s="142"/>
      <c r="D942" s="142"/>
      <c r="E942" s="86"/>
      <c r="F942" s="86"/>
      <c r="G942" s="140"/>
      <c r="H942" s="140"/>
      <c r="I942" s="140"/>
      <c r="J942" s="140"/>
      <c r="K942" s="140"/>
      <c r="L942" s="140"/>
      <c r="M942" s="140"/>
      <c r="N942" s="140"/>
      <c r="O942" s="140"/>
      <c r="P942" s="140"/>
      <c r="Q942" s="140"/>
      <c r="R942" s="140"/>
      <c r="S942" s="140"/>
      <c r="T942" s="140"/>
      <c r="U942" s="140"/>
      <c r="V942" s="140"/>
      <c r="W942" s="140"/>
      <c r="X942" s="140"/>
      <c r="Y942" s="140"/>
      <c r="Z942" s="140"/>
    </row>
    <row r="943" spans="1:26" ht="15.75" customHeight="1">
      <c r="A943" s="142"/>
      <c r="B943" s="141"/>
      <c r="C943" s="142"/>
      <c r="D943" s="142"/>
      <c r="E943" s="86"/>
      <c r="F943" s="86"/>
      <c r="G943" s="140"/>
      <c r="H943" s="140"/>
      <c r="I943" s="140"/>
      <c r="J943" s="140"/>
      <c r="K943" s="140"/>
      <c r="L943" s="140"/>
      <c r="M943" s="140"/>
      <c r="N943" s="140"/>
      <c r="O943" s="140"/>
      <c r="P943" s="140"/>
      <c r="Q943" s="140"/>
      <c r="R943" s="140"/>
      <c r="S943" s="140"/>
      <c r="T943" s="140"/>
      <c r="U943" s="140"/>
      <c r="V943" s="140"/>
      <c r="W943" s="140"/>
      <c r="X943" s="140"/>
      <c r="Y943" s="140"/>
      <c r="Z943" s="140"/>
    </row>
    <row r="944" spans="1:26" ht="15.75" customHeight="1">
      <c r="A944" s="142"/>
      <c r="B944" s="141"/>
      <c r="C944" s="142"/>
      <c r="D944" s="142"/>
      <c r="E944" s="86"/>
      <c r="F944" s="86"/>
      <c r="G944" s="140"/>
      <c r="H944" s="140"/>
      <c r="I944" s="140"/>
      <c r="J944" s="140"/>
      <c r="K944" s="140"/>
      <c r="L944" s="140"/>
      <c r="M944" s="140"/>
      <c r="N944" s="140"/>
      <c r="O944" s="140"/>
      <c r="P944" s="140"/>
      <c r="Q944" s="140"/>
      <c r="R944" s="140"/>
      <c r="S944" s="140"/>
      <c r="T944" s="140"/>
      <c r="U944" s="140"/>
      <c r="V944" s="140"/>
      <c r="W944" s="140"/>
      <c r="X944" s="140"/>
      <c r="Y944" s="140"/>
      <c r="Z944" s="140"/>
    </row>
    <row r="945" spans="1:26" ht="15.75" customHeight="1">
      <c r="A945" s="142"/>
      <c r="B945" s="141"/>
      <c r="C945" s="142"/>
      <c r="D945" s="142"/>
      <c r="E945" s="86"/>
      <c r="F945" s="86"/>
      <c r="G945" s="140"/>
      <c r="H945" s="140"/>
      <c r="I945" s="140"/>
      <c r="J945" s="140"/>
      <c r="K945" s="140"/>
      <c r="L945" s="140"/>
      <c r="M945" s="140"/>
      <c r="N945" s="140"/>
      <c r="O945" s="140"/>
      <c r="P945" s="140"/>
      <c r="Q945" s="140"/>
      <c r="R945" s="140"/>
      <c r="S945" s="140"/>
      <c r="T945" s="140"/>
      <c r="U945" s="140"/>
      <c r="V945" s="140"/>
      <c r="W945" s="140"/>
      <c r="X945" s="140"/>
      <c r="Y945" s="140"/>
      <c r="Z945" s="140"/>
    </row>
    <row r="946" spans="1:26" ht="15.75" customHeight="1">
      <c r="A946" s="142"/>
      <c r="B946" s="141"/>
      <c r="C946" s="142"/>
      <c r="D946" s="142"/>
      <c r="E946" s="86"/>
      <c r="F946" s="86"/>
      <c r="G946" s="140"/>
      <c r="H946" s="140"/>
      <c r="I946" s="140"/>
      <c r="J946" s="140"/>
      <c r="K946" s="140"/>
      <c r="L946" s="140"/>
      <c r="M946" s="140"/>
      <c r="N946" s="140"/>
      <c r="O946" s="140"/>
      <c r="P946" s="140"/>
      <c r="Q946" s="140"/>
      <c r="R946" s="140"/>
      <c r="S946" s="140"/>
      <c r="T946" s="140"/>
      <c r="U946" s="140"/>
      <c r="V946" s="140"/>
      <c r="W946" s="140"/>
      <c r="X946" s="140"/>
      <c r="Y946" s="140"/>
      <c r="Z946" s="140"/>
    </row>
    <row r="947" spans="1:26" ht="15.75" customHeight="1">
      <c r="A947" s="142"/>
      <c r="B947" s="141"/>
      <c r="C947" s="142"/>
      <c r="D947" s="142"/>
      <c r="E947" s="86"/>
      <c r="F947" s="86"/>
      <c r="G947" s="140"/>
      <c r="H947" s="140"/>
      <c r="I947" s="140"/>
      <c r="J947" s="140"/>
      <c r="K947" s="140"/>
      <c r="L947" s="140"/>
      <c r="M947" s="140"/>
      <c r="N947" s="140"/>
      <c r="O947" s="140"/>
      <c r="P947" s="140"/>
      <c r="Q947" s="140"/>
      <c r="R947" s="140"/>
      <c r="S947" s="140"/>
      <c r="T947" s="140"/>
      <c r="U947" s="140"/>
      <c r="V947" s="140"/>
      <c r="W947" s="140"/>
      <c r="X947" s="140"/>
      <c r="Y947" s="140"/>
      <c r="Z947" s="140"/>
    </row>
    <row r="948" spans="1:26" ht="15.75" customHeight="1">
      <c r="A948" s="142"/>
      <c r="B948" s="141"/>
      <c r="C948" s="142"/>
      <c r="D948" s="142"/>
      <c r="E948" s="86"/>
      <c r="F948" s="86"/>
      <c r="G948" s="140"/>
      <c r="H948" s="140"/>
      <c r="I948" s="140"/>
      <c r="J948" s="140"/>
      <c r="K948" s="140"/>
      <c r="L948" s="140"/>
      <c r="M948" s="140"/>
      <c r="N948" s="140"/>
      <c r="O948" s="140"/>
      <c r="P948" s="140"/>
      <c r="Q948" s="140"/>
      <c r="R948" s="140"/>
      <c r="S948" s="140"/>
      <c r="T948" s="140"/>
      <c r="U948" s="140"/>
      <c r="V948" s="140"/>
      <c r="W948" s="140"/>
      <c r="X948" s="140"/>
      <c r="Y948" s="140"/>
      <c r="Z948" s="140"/>
    </row>
    <row r="949" spans="1:26" ht="15.75" customHeight="1">
      <c r="A949" s="142"/>
      <c r="B949" s="141"/>
      <c r="C949" s="142"/>
      <c r="D949" s="142"/>
      <c r="E949" s="86"/>
      <c r="F949" s="86"/>
      <c r="G949" s="140"/>
      <c r="H949" s="140"/>
      <c r="I949" s="140"/>
      <c r="J949" s="140"/>
      <c r="K949" s="140"/>
      <c r="L949" s="140"/>
      <c r="M949" s="140"/>
      <c r="N949" s="140"/>
      <c r="O949" s="140"/>
      <c r="P949" s="140"/>
      <c r="Q949" s="140"/>
      <c r="R949" s="140"/>
      <c r="S949" s="140"/>
      <c r="T949" s="140"/>
      <c r="U949" s="140"/>
      <c r="V949" s="140"/>
      <c r="W949" s="140"/>
      <c r="X949" s="140"/>
      <c r="Y949" s="140"/>
      <c r="Z949" s="140"/>
    </row>
    <row r="950" spans="1:26" ht="15.75" customHeight="1">
      <c r="A950" s="142"/>
      <c r="B950" s="141"/>
      <c r="C950" s="142"/>
      <c r="D950" s="142"/>
      <c r="E950" s="86"/>
      <c r="F950" s="86"/>
      <c r="G950" s="140"/>
      <c r="H950" s="140"/>
      <c r="I950" s="140"/>
      <c r="J950" s="140"/>
      <c r="K950" s="140"/>
      <c r="L950" s="140"/>
      <c r="M950" s="140"/>
      <c r="N950" s="140"/>
      <c r="O950" s="140"/>
      <c r="P950" s="140"/>
      <c r="Q950" s="140"/>
      <c r="R950" s="140"/>
      <c r="S950" s="140"/>
      <c r="T950" s="140"/>
      <c r="U950" s="140"/>
      <c r="V950" s="140"/>
      <c r="W950" s="140"/>
      <c r="X950" s="140"/>
      <c r="Y950" s="140"/>
      <c r="Z950" s="140"/>
    </row>
    <row r="951" spans="1:26" ht="15.75" customHeight="1">
      <c r="A951" s="142"/>
      <c r="B951" s="141"/>
      <c r="C951" s="142"/>
      <c r="D951" s="142"/>
      <c r="E951" s="86"/>
      <c r="F951" s="86"/>
      <c r="G951" s="140"/>
      <c r="H951" s="140"/>
      <c r="I951" s="140"/>
      <c r="J951" s="140"/>
      <c r="K951" s="140"/>
      <c r="L951" s="140"/>
      <c r="M951" s="140"/>
      <c r="N951" s="140"/>
      <c r="O951" s="140"/>
      <c r="P951" s="140"/>
      <c r="Q951" s="140"/>
      <c r="R951" s="140"/>
      <c r="S951" s="140"/>
      <c r="T951" s="140"/>
      <c r="U951" s="140"/>
      <c r="V951" s="140"/>
      <c r="W951" s="140"/>
      <c r="X951" s="140"/>
      <c r="Y951" s="140"/>
      <c r="Z951" s="140"/>
    </row>
    <row r="952" spans="1:26" ht="15.75" customHeight="1">
      <c r="A952" s="142"/>
      <c r="B952" s="141"/>
      <c r="C952" s="142"/>
      <c r="D952" s="142"/>
      <c r="E952" s="86"/>
      <c r="F952" s="86"/>
      <c r="G952" s="140"/>
      <c r="H952" s="140"/>
      <c r="I952" s="140"/>
      <c r="J952" s="140"/>
      <c r="K952" s="140"/>
      <c r="L952" s="140"/>
      <c r="M952" s="140"/>
      <c r="N952" s="140"/>
      <c r="O952" s="140"/>
      <c r="P952" s="140"/>
      <c r="Q952" s="140"/>
      <c r="R952" s="140"/>
      <c r="S952" s="140"/>
      <c r="T952" s="140"/>
      <c r="U952" s="140"/>
      <c r="V952" s="140"/>
      <c r="W952" s="140"/>
      <c r="X952" s="140"/>
      <c r="Y952" s="140"/>
      <c r="Z952" s="140"/>
    </row>
    <row r="953" spans="1:26" ht="15.75" customHeight="1">
      <c r="A953" s="142"/>
      <c r="B953" s="141"/>
      <c r="C953" s="142"/>
      <c r="D953" s="142"/>
      <c r="E953" s="86"/>
      <c r="F953" s="86"/>
      <c r="G953" s="140"/>
      <c r="H953" s="140"/>
      <c r="I953" s="140"/>
      <c r="J953" s="140"/>
      <c r="K953" s="140"/>
      <c r="L953" s="140"/>
      <c r="M953" s="140"/>
      <c r="N953" s="140"/>
      <c r="O953" s="140"/>
      <c r="P953" s="140"/>
      <c r="Q953" s="140"/>
      <c r="R953" s="140"/>
      <c r="S953" s="140"/>
      <c r="T953" s="140"/>
      <c r="U953" s="140"/>
      <c r="V953" s="140"/>
      <c r="W953" s="140"/>
      <c r="X953" s="140"/>
      <c r="Y953" s="140"/>
      <c r="Z953" s="140"/>
    </row>
    <row r="954" spans="1:26" ht="15.75" customHeight="1">
      <c r="A954" s="142"/>
      <c r="B954" s="141"/>
      <c r="C954" s="142"/>
      <c r="D954" s="142"/>
      <c r="E954" s="86"/>
      <c r="F954" s="86"/>
      <c r="G954" s="140"/>
      <c r="H954" s="140"/>
      <c r="I954" s="140"/>
      <c r="J954" s="140"/>
      <c r="K954" s="140"/>
      <c r="L954" s="140"/>
      <c r="M954" s="140"/>
      <c r="N954" s="140"/>
      <c r="O954" s="140"/>
      <c r="P954" s="140"/>
      <c r="Q954" s="140"/>
      <c r="R954" s="140"/>
      <c r="S954" s="140"/>
      <c r="T954" s="140"/>
      <c r="U954" s="140"/>
      <c r="V954" s="140"/>
      <c r="W954" s="140"/>
      <c r="X954" s="140"/>
      <c r="Y954" s="140"/>
      <c r="Z954" s="140"/>
    </row>
    <row r="955" spans="1:26" ht="15.75" customHeight="1">
      <c r="A955" s="142"/>
      <c r="B955" s="141"/>
      <c r="C955" s="142"/>
      <c r="D955" s="142"/>
      <c r="E955" s="86"/>
      <c r="F955" s="86"/>
      <c r="G955" s="140"/>
      <c r="H955" s="140"/>
      <c r="I955" s="140"/>
      <c r="J955" s="140"/>
      <c r="K955" s="140"/>
      <c r="L955" s="140"/>
      <c r="M955" s="140"/>
      <c r="N955" s="140"/>
      <c r="O955" s="140"/>
      <c r="P955" s="140"/>
      <c r="Q955" s="140"/>
      <c r="R955" s="140"/>
      <c r="S955" s="140"/>
      <c r="T955" s="140"/>
      <c r="U955" s="140"/>
      <c r="V955" s="140"/>
      <c r="W955" s="140"/>
      <c r="X955" s="140"/>
      <c r="Y955" s="140"/>
      <c r="Z955" s="140"/>
    </row>
    <row r="956" spans="1:26" ht="15.75" customHeight="1">
      <c r="A956" s="142"/>
      <c r="B956" s="141"/>
      <c r="C956" s="142"/>
      <c r="D956" s="142"/>
      <c r="E956" s="86"/>
      <c r="F956" s="86"/>
      <c r="G956" s="140"/>
      <c r="H956" s="140"/>
      <c r="I956" s="140"/>
      <c r="J956" s="140"/>
      <c r="K956" s="140"/>
      <c r="L956" s="140"/>
      <c r="M956" s="140"/>
      <c r="N956" s="140"/>
      <c r="O956" s="140"/>
      <c r="P956" s="140"/>
      <c r="Q956" s="140"/>
      <c r="R956" s="140"/>
      <c r="S956" s="140"/>
      <c r="T956" s="140"/>
      <c r="U956" s="140"/>
      <c r="V956" s="140"/>
      <c r="W956" s="140"/>
      <c r="X956" s="140"/>
      <c r="Y956" s="140"/>
      <c r="Z956" s="140"/>
    </row>
    <row r="957" spans="1:26" ht="15.75" customHeight="1">
      <c r="A957" s="142"/>
      <c r="B957" s="141"/>
      <c r="C957" s="142"/>
      <c r="D957" s="142"/>
      <c r="E957" s="86"/>
      <c r="F957" s="86"/>
      <c r="G957" s="140"/>
      <c r="H957" s="140"/>
      <c r="I957" s="140"/>
      <c r="J957" s="140"/>
      <c r="K957" s="140"/>
      <c r="L957" s="140"/>
      <c r="M957" s="140"/>
      <c r="N957" s="140"/>
      <c r="O957" s="140"/>
      <c r="P957" s="140"/>
      <c r="Q957" s="140"/>
      <c r="R957" s="140"/>
      <c r="S957" s="140"/>
      <c r="T957" s="140"/>
      <c r="U957" s="140"/>
      <c r="V957" s="140"/>
      <c r="W957" s="140"/>
      <c r="X957" s="140"/>
      <c r="Y957" s="140"/>
      <c r="Z957" s="140"/>
    </row>
    <row r="958" spans="1:26" ht="15.75" customHeight="1">
      <c r="A958" s="142"/>
      <c r="B958" s="141"/>
      <c r="C958" s="142"/>
      <c r="D958" s="142"/>
      <c r="E958" s="86"/>
      <c r="F958" s="86"/>
      <c r="G958" s="140"/>
      <c r="H958" s="140"/>
      <c r="I958" s="140"/>
      <c r="J958" s="140"/>
      <c r="K958" s="140"/>
      <c r="L958" s="140"/>
      <c r="M958" s="140"/>
      <c r="N958" s="140"/>
      <c r="O958" s="140"/>
      <c r="P958" s="140"/>
      <c r="Q958" s="140"/>
      <c r="R958" s="140"/>
      <c r="S958" s="140"/>
      <c r="T958" s="140"/>
      <c r="U958" s="140"/>
      <c r="V958" s="140"/>
      <c r="W958" s="140"/>
      <c r="X958" s="140"/>
      <c r="Y958" s="140"/>
      <c r="Z958" s="140"/>
    </row>
    <row r="959" spans="1:26" ht="15.75" customHeight="1">
      <c r="A959" s="142"/>
      <c r="B959" s="141"/>
      <c r="C959" s="142"/>
      <c r="D959" s="142"/>
      <c r="E959" s="86"/>
      <c r="F959" s="86"/>
      <c r="G959" s="140"/>
      <c r="H959" s="140"/>
      <c r="I959" s="140"/>
      <c r="J959" s="140"/>
      <c r="K959" s="140"/>
      <c r="L959" s="140"/>
      <c r="M959" s="140"/>
      <c r="N959" s="140"/>
      <c r="O959" s="140"/>
      <c r="P959" s="140"/>
      <c r="Q959" s="140"/>
      <c r="R959" s="140"/>
      <c r="S959" s="140"/>
      <c r="T959" s="140"/>
      <c r="U959" s="140"/>
      <c r="V959" s="140"/>
      <c r="W959" s="140"/>
      <c r="X959" s="140"/>
      <c r="Y959" s="140"/>
      <c r="Z959" s="140"/>
    </row>
    <row r="960" spans="1:26" ht="15.75" customHeight="1">
      <c r="A960" s="142"/>
      <c r="B960" s="141"/>
      <c r="C960" s="142"/>
      <c r="D960" s="142"/>
      <c r="E960" s="86"/>
      <c r="F960" s="86"/>
      <c r="G960" s="140"/>
      <c r="H960" s="140"/>
      <c r="I960" s="140"/>
      <c r="J960" s="140"/>
      <c r="K960" s="140"/>
      <c r="L960" s="140"/>
      <c r="M960" s="140"/>
      <c r="N960" s="140"/>
      <c r="O960" s="140"/>
      <c r="P960" s="140"/>
      <c r="Q960" s="140"/>
      <c r="R960" s="140"/>
      <c r="S960" s="140"/>
      <c r="T960" s="140"/>
      <c r="U960" s="140"/>
      <c r="V960" s="140"/>
      <c r="W960" s="140"/>
      <c r="X960" s="140"/>
      <c r="Y960" s="140"/>
      <c r="Z960" s="140"/>
    </row>
    <row r="961" spans="1:26" ht="15.75" customHeight="1">
      <c r="A961" s="142"/>
      <c r="B961" s="141"/>
      <c r="C961" s="142"/>
      <c r="D961" s="142"/>
      <c r="E961" s="86"/>
      <c r="F961" s="86"/>
      <c r="G961" s="140"/>
      <c r="H961" s="140"/>
      <c r="I961" s="140"/>
      <c r="J961" s="140"/>
      <c r="K961" s="140"/>
      <c r="L961" s="140"/>
      <c r="M961" s="140"/>
      <c r="N961" s="140"/>
      <c r="O961" s="140"/>
      <c r="P961" s="140"/>
      <c r="Q961" s="140"/>
      <c r="R961" s="140"/>
      <c r="S961" s="140"/>
      <c r="T961" s="140"/>
      <c r="U961" s="140"/>
      <c r="V961" s="140"/>
      <c r="W961" s="140"/>
      <c r="X961" s="140"/>
      <c r="Y961" s="140"/>
      <c r="Z961" s="140"/>
    </row>
    <row r="962" spans="1:26" ht="15.75" customHeight="1">
      <c r="A962" s="142"/>
      <c r="B962" s="141"/>
      <c r="C962" s="142"/>
      <c r="D962" s="142"/>
      <c r="E962" s="86"/>
      <c r="F962" s="86"/>
      <c r="G962" s="140"/>
      <c r="H962" s="140"/>
      <c r="I962" s="140"/>
      <c r="J962" s="140"/>
      <c r="K962" s="140"/>
      <c r="L962" s="140"/>
      <c r="M962" s="140"/>
      <c r="N962" s="140"/>
      <c r="O962" s="140"/>
      <c r="P962" s="140"/>
      <c r="Q962" s="140"/>
      <c r="R962" s="140"/>
      <c r="S962" s="140"/>
      <c r="T962" s="140"/>
      <c r="U962" s="140"/>
      <c r="V962" s="140"/>
      <c r="W962" s="140"/>
      <c r="X962" s="140"/>
      <c r="Y962" s="140"/>
      <c r="Z962" s="140"/>
    </row>
    <row r="963" spans="1:26" ht="15.75" customHeight="1">
      <c r="A963" s="142"/>
      <c r="B963" s="141"/>
      <c r="C963" s="142"/>
      <c r="D963" s="142"/>
      <c r="E963" s="86"/>
      <c r="F963" s="86"/>
      <c r="G963" s="140"/>
      <c r="H963" s="140"/>
      <c r="I963" s="140"/>
      <c r="J963" s="140"/>
      <c r="K963" s="140"/>
      <c r="L963" s="140"/>
      <c r="M963" s="140"/>
      <c r="N963" s="140"/>
      <c r="O963" s="140"/>
      <c r="P963" s="140"/>
      <c r="Q963" s="140"/>
      <c r="R963" s="140"/>
      <c r="S963" s="140"/>
      <c r="T963" s="140"/>
      <c r="U963" s="140"/>
      <c r="V963" s="140"/>
      <c r="W963" s="140"/>
      <c r="X963" s="140"/>
      <c r="Y963" s="140"/>
      <c r="Z963" s="140"/>
    </row>
    <row r="964" spans="1:26" ht="15.75" customHeight="1">
      <c r="A964" s="142"/>
      <c r="B964" s="141"/>
      <c r="C964" s="142"/>
      <c r="D964" s="142"/>
      <c r="E964" s="86"/>
      <c r="F964" s="86"/>
      <c r="G964" s="140"/>
      <c r="H964" s="140"/>
      <c r="I964" s="140"/>
      <c r="J964" s="140"/>
      <c r="K964" s="140"/>
      <c r="L964" s="140"/>
      <c r="M964" s="140"/>
      <c r="N964" s="140"/>
      <c r="O964" s="140"/>
      <c r="P964" s="140"/>
      <c r="Q964" s="140"/>
      <c r="R964" s="140"/>
      <c r="S964" s="140"/>
      <c r="T964" s="140"/>
      <c r="U964" s="140"/>
      <c r="V964" s="140"/>
      <c r="W964" s="140"/>
      <c r="X964" s="140"/>
      <c r="Y964" s="140"/>
      <c r="Z964" s="140"/>
    </row>
    <row r="965" spans="1:26" ht="15.75" customHeight="1">
      <c r="A965" s="142"/>
      <c r="B965" s="141"/>
      <c r="C965" s="142"/>
      <c r="D965" s="142"/>
      <c r="E965" s="86"/>
      <c r="F965" s="86"/>
      <c r="G965" s="140"/>
      <c r="H965" s="140"/>
      <c r="I965" s="140"/>
      <c r="J965" s="140"/>
      <c r="K965" s="140"/>
      <c r="L965" s="140"/>
      <c r="M965" s="140"/>
      <c r="N965" s="140"/>
      <c r="O965" s="140"/>
      <c r="P965" s="140"/>
      <c r="Q965" s="140"/>
      <c r="R965" s="140"/>
      <c r="S965" s="140"/>
      <c r="T965" s="140"/>
      <c r="U965" s="140"/>
      <c r="V965" s="140"/>
      <c r="W965" s="140"/>
      <c r="X965" s="140"/>
      <c r="Y965" s="140"/>
      <c r="Z965" s="140"/>
    </row>
    <row r="966" spans="1:26" ht="15.75" customHeight="1">
      <c r="A966" s="142"/>
      <c r="B966" s="141"/>
      <c r="C966" s="142"/>
      <c r="D966" s="142"/>
      <c r="E966" s="86"/>
      <c r="F966" s="86"/>
      <c r="G966" s="140"/>
      <c r="H966" s="140"/>
      <c r="I966" s="140"/>
      <c r="J966" s="140"/>
      <c r="K966" s="140"/>
      <c r="L966" s="140"/>
      <c r="M966" s="140"/>
      <c r="N966" s="140"/>
      <c r="O966" s="140"/>
      <c r="P966" s="140"/>
      <c r="Q966" s="140"/>
      <c r="R966" s="140"/>
      <c r="S966" s="140"/>
      <c r="T966" s="140"/>
      <c r="U966" s="140"/>
      <c r="V966" s="140"/>
      <c r="W966" s="140"/>
      <c r="X966" s="140"/>
      <c r="Y966" s="140"/>
      <c r="Z966" s="140"/>
    </row>
    <row r="967" spans="1:26" ht="15.75" customHeight="1">
      <c r="A967" s="142"/>
      <c r="B967" s="141"/>
      <c r="C967" s="142"/>
      <c r="D967" s="142"/>
      <c r="E967" s="86"/>
      <c r="F967" s="86"/>
      <c r="G967" s="140"/>
      <c r="H967" s="140"/>
      <c r="I967" s="140"/>
      <c r="J967" s="140"/>
      <c r="K967" s="140"/>
      <c r="L967" s="140"/>
      <c r="M967" s="140"/>
      <c r="N967" s="140"/>
      <c r="O967" s="140"/>
      <c r="P967" s="140"/>
      <c r="Q967" s="140"/>
      <c r="R967" s="140"/>
      <c r="S967" s="140"/>
      <c r="T967" s="140"/>
      <c r="U967" s="140"/>
      <c r="V967" s="140"/>
      <c r="W967" s="140"/>
      <c r="X967" s="140"/>
      <c r="Y967" s="140"/>
      <c r="Z967" s="140"/>
    </row>
    <row r="968" spans="1:26" ht="15.75" customHeight="1">
      <c r="A968" s="142"/>
      <c r="B968" s="141"/>
      <c r="C968" s="142"/>
      <c r="D968" s="142"/>
      <c r="E968" s="86"/>
      <c r="F968" s="86"/>
      <c r="G968" s="140"/>
      <c r="H968" s="140"/>
      <c r="I968" s="140"/>
      <c r="J968" s="140"/>
      <c r="K968" s="140"/>
      <c r="L968" s="140"/>
      <c r="M968" s="140"/>
      <c r="N968" s="140"/>
      <c r="O968" s="140"/>
      <c r="P968" s="140"/>
      <c r="Q968" s="140"/>
      <c r="R968" s="140"/>
      <c r="S968" s="140"/>
      <c r="T968" s="140"/>
      <c r="U968" s="140"/>
      <c r="V968" s="140"/>
      <c r="W968" s="140"/>
      <c r="X968" s="140"/>
      <c r="Y968" s="140"/>
      <c r="Z968" s="140"/>
    </row>
    <row r="969" spans="1:26" ht="15.75" customHeight="1">
      <c r="A969" s="142"/>
      <c r="B969" s="141"/>
      <c r="C969" s="142"/>
      <c r="D969" s="142"/>
      <c r="E969" s="86"/>
      <c r="F969" s="86"/>
      <c r="G969" s="140"/>
      <c r="H969" s="140"/>
      <c r="I969" s="140"/>
      <c r="J969" s="140"/>
      <c r="K969" s="140"/>
      <c r="L969" s="140"/>
      <c r="M969" s="140"/>
      <c r="N969" s="140"/>
      <c r="O969" s="140"/>
      <c r="P969" s="140"/>
      <c r="Q969" s="140"/>
      <c r="R969" s="140"/>
      <c r="S969" s="140"/>
      <c r="T969" s="140"/>
      <c r="U969" s="140"/>
      <c r="V969" s="140"/>
      <c r="W969" s="140"/>
      <c r="X969" s="140"/>
      <c r="Y969" s="140"/>
      <c r="Z969" s="140"/>
    </row>
    <row r="970" spans="1:26" ht="15.75" customHeight="1">
      <c r="A970" s="142"/>
      <c r="B970" s="141"/>
      <c r="C970" s="142"/>
      <c r="D970" s="142"/>
      <c r="E970" s="86"/>
      <c r="F970" s="86"/>
      <c r="G970" s="140"/>
      <c r="H970" s="140"/>
      <c r="I970" s="140"/>
      <c r="J970" s="140"/>
      <c r="K970" s="140"/>
      <c r="L970" s="140"/>
      <c r="M970" s="140"/>
      <c r="N970" s="140"/>
      <c r="O970" s="140"/>
      <c r="P970" s="140"/>
      <c r="Q970" s="140"/>
      <c r="R970" s="140"/>
      <c r="S970" s="140"/>
      <c r="T970" s="140"/>
      <c r="U970" s="140"/>
      <c r="V970" s="140"/>
      <c r="W970" s="140"/>
      <c r="X970" s="140"/>
      <c r="Y970" s="140"/>
      <c r="Z970" s="140"/>
    </row>
    <row r="971" spans="1:26" ht="15.75" customHeight="1">
      <c r="A971" s="142"/>
      <c r="B971" s="141"/>
      <c r="C971" s="142"/>
      <c r="D971" s="142"/>
      <c r="E971" s="86"/>
      <c r="F971" s="86"/>
      <c r="G971" s="140"/>
      <c r="H971" s="140"/>
      <c r="I971" s="140"/>
      <c r="J971" s="140"/>
      <c r="K971" s="140"/>
      <c r="L971" s="140"/>
      <c r="M971" s="140"/>
      <c r="N971" s="140"/>
      <c r="O971" s="140"/>
      <c r="P971" s="140"/>
      <c r="Q971" s="140"/>
      <c r="R971" s="140"/>
      <c r="S971" s="140"/>
      <c r="T971" s="140"/>
      <c r="U971" s="140"/>
      <c r="V971" s="140"/>
      <c r="W971" s="140"/>
      <c r="X971" s="140"/>
      <c r="Y971" s="140"/>
      <c r="Z971" s="140"/>
    </row>
    <row r="972" spans="1:26" ht="15.75" customHeight="1">
      <c r="A972" s="142"/>
      <c r="B972" s="141"/>
      <c r="C972" s="142"/>
      <c r="D972" s="142"/>
      <c r="E972" s="86"/>
      <c r="F972" s="86"/>
      <c r="G972" s="140"/>
      <c r="H972" s="140"/>
      <c r="I972" s="140"/>
      <c r="J972" s="140"/>
      <c r="K972" s="140"/>
      <c r="L972" s="140"/>
      <c r="M972" s="140"/>
      <c r="N972" s="140"/>
      <c r="O972" s="140"/>
      <c r="P972" s="140"/>
      <c r="Q972" s="140"/>
      <c r="R972" s="140"/>
      <c r="S972" s="140"/>
      <c r="T972" s="140"/>
      <c r="U972" s="140"/>
      <c r="V972" s="140"/>
      <c r="W972" s="140"/>
      <c r="X972" s="140"/>
      <c r="Y972" s="140"/>
      <c r="Z972" s="140"/>
    </row>
    <row r="973" spans="1:26" ht="15.75" customHeight="1">
      <c r="A973" s="142"/>
      <c r="B973" s="141"/>
      <c r="C973" s="142"/>
      <c r="D973" s="142"/>
      <c r="E973" s="86"/>
      <c r="F973" s="86"/>
      <c r="G973" s="140"/>
      <c r="H973" s="140"/>
      <c r="I973" s="140"/>
      <c r="J973" s="140"/>
      <c r="K973" s="140"/>
      <c r="L973" s="140"/>
      <c r="M973" s="140"/>
      <c r="N973" s="140"/>
      <c r="O973" s="140"/>
      <c r="P973" s="140"/>
      <c r="Q973" s="140"/>
      <c r="R973" s="140"/>
      <c r="S973" s="140"/>
      <c r="T973" s="140"/>
      <c r="U973" s="140"/>
      <c r="V973" s="140"/>
      <c r="W973" s="140"/>
      <c r="X973" s="140"/>
      <c r="Y973" s="140"/>
      <c r="Z973" s="140"/>
    </row>
    <row r="974" spans="1:26" ht="15.75" customHeight="1">
      <c r="A974" s="142"/>
      <c r="B974" s="141"/>
      <c r="C974" s="142"/>
      <c r="D974" s="142"/>
      <c r="E974" s="86"/>
      <c r="F974" s="86"/>
      <c r="G974" s="140"/>
      <c r="H974" s="140"/>
      <c r="I974" s="140"/>
      <c r="J974" s="140"/>
      <c r="K974" s="140"/>
      <c r="L974" s="140"/>
      <c r="M974" s="140"/>
      <c r="N974" s="140"/>
      <c r="O974" s="140"/>
      <c r="P974" s="140"/>
      <c r="Q974" s="140"/>
      <c r="R974" s="140"/>
      <c r="S974" s="140"/>
      <c r="T974" s="140"/>
      <c r="U974" s="140"/>
      <c r="V974" s="140"/>
      <c r="W974" s="140"/>
      <c r="X974" s="140"/>
      <c r="Y974" s="140"/>
      <c r="Z974" s="140"/>
    </row>
    <row r="975" spans="1:26" ht="15.75" customHeight="1">
      <c r="A975" s="142"/>
      <c r="B975" s="141"/>
      <c r="C975" s="142"/>
      <c r="D975" s="142"/>
      <c r="E975" s="86"/>
      <c r="F975" s="86"/>
      <c r="G975" s="140"/>
      <c r="H975" s="140"/>
      <c r="I975" s="140"/>
      <c r="J975" s="140"/>
      <c r="K975" s="140"/>
      <c r="L975" s="140"/>
      <c r="M975" s="140"/>
      <c r="N975" s="140"/>
      <c r="O975" s="140"/>
      <c r="P975" s="140"/>
      <c r="Q975" s="140"/>
      <c r="R975" s="140"/>
      <c r="S975" s="140"/>
      <c r="T975" s="140"/>
      <c r="U975" s="140"/>
      <c r="V975" s="140"/>
      <c r="W975" s="140"/>
      <c r="X975" s="140"/>
      <c r="Y975" s="140"/>
      <c r="Z975" s="140"/>
    </row>
    <row r="976" spans="1:26" ht="15.75" customHeight="1">
      <c r="A976" s="142"/>
      <c r="B976" s="141"/>
      <c r="C976" s="142"/>
      <c r="D976" s="142"/>
      <c r="E976" s="86"/>
      <c r="F976" s="86"/>
      <c r="G976" s="140"/>
      <c r="H976" s="140"/>
      <c r="I976" s="140"/>
      <c r="J976" s="140"/>
      <c r="K976" s="140"/>
      <c r="L976" s="140"/>
      <c r="M976" s="140"/>
      <c r="N976" s="140"/>
      <c r="O976" s="140"/>
      <c r="P976" s="140"/>
      <c r="Q976" s="140"/>
      <c r="R976" s="140"/>
      <c r="S976" s="140"/>
      <c r="T976" s="140"/>
      <c r="U976" s="140"/>
      <c r="V976" s="140"/>
      <c r="W976" s="140"/>
      <c r="X976" s="140"/>
      <c r="Y976" s="140"/>
      <c r="Z976" s="140"/>
    </row>
    <row r="977" spans="1:26" ht="15.75" customHeight="1">
      <c r="A977" s="142"/>
      <c r="B977" s="141"/>
      <c r="C977" s="142"/>
      <c r="D977" s="142"/>
      <c r="E977" s="86"/>
      <c r="F977" s="86"/>
      <c r="G977" s="140"/>
      <c r="H977" s="140"/>
      <c r="I977" s="140"/>
      <c r="J977" s="140"/>
      <c r="K977" s="140"/>
      <c r="L977" s="140"/>
      <c r="M977" s="140"/>
      <c r="N977" s="140"/>
      <c r="O977" s="140"/>
      <c r="P977" s="140"/>
      <c r="Q977" s="140"/>
      <c r="R977" s="140"/>
      <c r="S977" s="140"/>
      <c r="T977" s="140"/>
      <c r="U977" s="140"/>
      <c r="V977" s="140"/>
      <c r="W977" s="140"/>
      <c r="X977" s="140"/>
      <c r="Y977" s="140"/>
      <c r="Z977" s="140"/>
    </row>
    <row r="978" spans="1:26" ht="15.75" customHeight="1">
      <c r="A978" s="142"/>
      <c r="B978" s="141"/>
      <c r="C978" s="142"/>
      <c r="D978" s="142"/>
      <c r="E978" s="86"/>
      <c r="F978" s="86"/>
      <c r="G978" s="140"/>
      <c r="H978" s="140"/>
      <c r="I978" s="140"/>
      <c r="J978" s="140"/>
      <c r="K978" s="140"/>
      <c r="L978" s="140"/>
      <c r="M978" s="140"/>
      <c r="N978" s="140"/>
      <c r="O978" s="140"/>
      <c r="P978" s="140"/>
      <c r="Q978" s="140"/>
      <c r="R978" s="140"/>
      <c r="S978" s="140"/>
      <c r="T978" s="140"/>
      <c r="U978" s="140"/>
      <c r="V978" s="140"/>
      <c r="W978" s="140"/>
      <c r="X978" s="140"/>
      <c r="Y978" s="140"/>
      <c r="Z978" s="140"/>
    </row>
    <row r="979" spans="1:26" ht="15.75" customHeight="1">
      <c r="A979" s="142"/>
      <c r="B979" s="141"/>
      <c r="C979" s="142"/>
      <c r="D979" s="142"/>
      <c r="E979" s="86"/>
      <c r="F979" s="86"/>
      <c r="G979" s="140"/>
      <c r="H979" s="140"/>
      <c r="I979" s="140"/>
      <c r="J979" s="140"/>
      <c r="K979" s="140"/>
      <c r="L979" s="140"/>
      <c r="M979" s="140"/>
      <c r="N979" s="140"/>
      <c r="O979" s="140"/>
      <c r="P979" s="140"/>
      <c r="Q979" s="140"/>
      <c r="R979" s="140"/>
      <c r="S979" s="140"/>
      <c r="T979" s="140"/>
      <c r="U979" s="140"/>
      <c r="V979" s="140"/>
      <c r="W979" s="140"/>
      <c r="X979" s="140"/>
      <c r="Y979" s="140"/>
      <c r="Z979" s="140"/>
    </row>
    <row r="980" spans="1:26" ht="15.75" customHeight="1">
      <c r="A980" s="142"/>
      <c r="B980" s="141"/>
      <c r="C980" s="142"/>
      <c r="D980" s="142"/>
      <c r="E980" s="86"/>
      <c r="F980" s="86"/>
      <c r="G980" s="140"/>
      <c r="H980" s="140"/>
      <c r="I980" s="140"/>
      <c r="J980" s="140"/>
      <c r="K980" s="140"/>
      <c r="L980" s="140"/>
      <c r="M980" s="140"/>
      <c r="N980" s="140"/>
      <c r="O980" s="140"/>
      <c r="P980" s="140"/>
      <c r="Q980" s="140"/>
      <c r="R980" s="140"/>
      <c r="S980" s="140"/>
      <c r="T980" s="140"/>
      <c r="U980" s="140"/>
      <c r="V980" s="140"/>
      <c r="W980" s="140"/>
      <c r="X980" s="140"/>
      <c r="Y980" s="140"/>
      <c r="Z980" s="140"/>
    </row>
    <row r="981" spans="1:26" ht="15.75" customHeight="1">
      <c r="A981" s="142"/>
      <c r="B981" s="141"/>
      <c r="C981" s="142"/>
      <c r="D981" s="142"/>
      <c r="E981" s="86"/>
      <c r="F981" s="86"/>
      <c r="G981" s="140"/>
      <c r="H981" s="140"/>
      <c r="I981" s="140"/>
      <c r="J981" s="140"/>
      <c r="K981" s="140"/>
      <c r="L981" s="140"/>
      <c r="M981" s="140"/>
      <c r="N981" s="140"/>
      <c r="O981" s="140"/>
      <c r="P981" s="140"/>
      <c r="Q981" s="140"/>
      <c r="R981" s="140"/>
      <c r="S981" s="140"/>
      <c r="T981" s="140"/>
      <c r="U981" s="140"/>
      <c r="V981" s="140"/>
      <c r="W981" s="140"/>
      <c r="X981" s="140"/>
      <c r="Y981" s="140"/>
      <c r="Z981" s="140"/>
    </row>
    <row r="982" spans="1:26" ht="15.75" customHeight="1">
      <c r="A982" s="142"/>
      <c r="B982" s="141"/>
      <c r="C982" s="142"/>
      <c r="D982" s="142"/>
      <c r="E982" s="86"/>
      <c r="F982" s="86"/>
      <c r="G982" s="140"/>
      <c r="H982" s="140"/>
      <c r="I982" s="140"/>
      <c r="J982" s="140"/>
      <c r="K982" s="140"/>
      <c r="L982" s="140"/>
      <c r="M982" s="140"/>
      <c r="N982" s="140"/>
      <c r="O982" s="140"/>
      <c r="P982" s="140"/>
      <c r="Q982" s="140"/>
      <c r="R982" s="140"/>
      <c r="S982" s="140"/>
      <c r="T982" s="140"/>
      <c r="U982" s="140"/>
      <c r="V982" s="140"/>
      <c r="W982" s="140"/>
      <c r="X982" s="140"/>
      <c r="Y982" s="140"/>
      <c r="Z982" s="140"/>
    </row>
    <row r="983" spans="1:26" ht="15.75" customHeight="1">
      <c r="A983" s="142"/>
      <c r="B983" s="141"/>
      <c r="C983" s="142"/>
      <c r="D983" s="142"/>
      <c r="E983" s="86"/>
      <c r="F983" s="86"/>
      <c r="G983" s="140"/>
      <c r="H983" s="140"/>
      <c r="I983" s="140"/>
      <c r="J983" s="140"/>
      <c r="K983" s="140"/>
      <c r="L983" s="140"/>
      <c r="M983" s="140"/>
      <c r="N983" s="140"/>
      <c r="O983" s="140"/>
      <c r="P983" s="140"/>
      <c r="Q983" s="140"/>
      <c r="R983" s="140"/>
      <c r="S983" s="140"/>
      <c r="T983" s="140"/>
      <c r="U983" s="140"/>
      <c r="V983" s="140"/>
      <c r="W983" s="140"/>
      <c r="X983" s="140"/>
      <c r="Y983" s="140"/>
      <c r="Z983" s="140"/>
    </row>
    <row r="984" spans="1:26" ht="15.75" customHeight="1">
      <c r="A984" s="142"/>
      <c r="B984" s="141"/>
      <c r="C984" s="142"/>
      <c r="D984" s="142"/>
      <c r="E984" s="86"/>
      <c r="F984" s="86"/>
      <c r="G984" s="140"/>
      <c r="H984" s="140"/>
      <c r="I984" s="140"/>
      <c r="J984" s="140"/>
      <c r="K984" s="140"/>
      <c r="L984" s="140"/>
      <c r="M984" s="140"/>
      <c r="N984" s="140"/>
      <c r="O984" s="140"/>
      <c r="P984" s="140"/>
      <c r="Q984" s="140"/>
      <c r="R984" s="140"/>
      <c r="S984" s="140"/>
      <c r="T984" s="140"/>
      <c r="U984" s="140"/>
      <c r="V984" s="140"/>
      <c r="W984" s="140"/>
      <c r="X984" s="140"/>
      <c r="Y984" s="140"/>
      <c r="Z984" s="140"/>
    </row>
    <row r="985" spans="1:26" ht="15.75" customHeight="1">
      <c r="A985" s="142"/>
      <c r="B985" s="141"/>
      <c r="C985" s="142"/>
      <c r="D985" s="142"/>
      <c r="E985" s="86"/>
      <c r="F985" s="86"/>
      <c r="G985" s="140"/>
      <c r="H985" s="140"/>
      <c r="I985" s="140"/>
      <c r="J985" s="140"/>
      <c r="K985" s="140"/>
      <c r="L985" s="140"/>
      <c r="M985" s="140"/>
      <c r="N985" s="140"/>
      <c r="O985" s="140"/>
      <c r="P985" s="140"/>
      <c r="Q985" s="140"/>
      <c r="R985" s="140"/>
      <c r="S985" s="140"/>
      <c r="T985" s="140"/>
      <c r="U985" s="140"/>
      <c r="V985" s="140"/>
      <c r="W985" s="140"/>
      <c r="X985" s="140"/>
      <c r="Y985" s="140"/>
      <c r="Z985" s="140"/>
    </row>
    <row r="986" spans="1:26" ht="15.75" customHeight="1">
      <c r="A986" s="142"/>
      <c r="B986" s="141"/>
      <c r="C986" s="142"/>
      <c r="D986" s="142"/>
      <c r="E986" s="86"/>
      <c r="F986" s="86"/>
      <c r="G986" s="140"/>
      <c r="H986" s="140"/>
      <c r="I986" s="140"/>
      <c r="J986" s="140"/>
      <c r="K986" s="140"/>
      <c r="L986" s="140"/>
      <c r="M986" s="140"/>
      <c r="N986" s="140"/>
      <c r="O986" s="140"/>
      <c r="P986" s="140"/>
      <c r="Q986" s="140"/>
      <c r="R986" s="140"/>
      <c r="S986" s="140"/>
      <c r="T986" s="140"/>
      <c r="U986" s="140"/>
      <c r="V986" s="140"/>
      <c r="W986" s="140"/>
      <c r="X986" s="140"/>
      <c r="Y986" s="140"/>
      <c r="Z986" s="140"/>
    </row>
    <row r="987" spans="1:26" ht="15.75" customHeight="1">
      <c r="A987" s="142"/>
      <c r="B987" s="141"/>
      <c r="C987" s="142"/>
      <c r="D987" s="142"/>
      <c r="E987" s="86"/>
      <c r="F987" s="86"/>
      <c r="G987" s="140"/>
      <c r="H987" s="140"/>
      <c r="I987" s="140"/>
      <c r="J987" s="140"/>
      <c r="K987" s="140"/>
      <c r="L987" s="140"/>
      <c r="M987" s="140"/>
      <c r="N987" s="140"/>
      <c r="O987" s="140"/>
      <c r="P987" s="140"/>
      <c r="Q987" s="140"/>
      <c r="R987" s="140"/>
      <c r="S987" s="140"/>
      <c r="T987" s="140"/>
      <c r="U987" s="140"/>
      <c r="V987" s="140"/>
      <c r="W987" s="140"/>
      <c r="X987" s="140"/>
      <c r="Y987" s="140"/>
      <c r="Z987" s="140"/>
    </row>
    <row r="988" spans="1:26" ht="15.75" customHeight="1">
      <c r="A988" s="142"/>
      <c r="B988" s="141"/>
      <c r="C988" s="142"/>
      <c r="D988" s="142"/>
      <c r="E988" s="86"/>
      <c r="F988" s="86"/>
      <c r="G988" s="140"/>
      <c r="H988" s="140"/>
      <c r="I988" s="140"/>
      <c r="J988" s="140"/>
      <c r="K988" s="140"/>
      <c r="L988" s="140"/>
      <c r="M988" s="140"/>
      <c r="N988" s="140"/>
      <c r="O988" s="140"/>
      <c r="P988" s="140"/>
      <c r="Q988" s="140"/>
      <c r="R988" s="140"/>
      <c r="S988" s="140"/>
      <c r="T988" s="140"/>
      <c r="U988" s="140"/>
      <c r="V988" s="140"/>
      <c r="W988" s="140"/>
      <c r="X988" s="140"/>
      <c r="Y988" s="140"/>
      <c r="Z988" s="140"/>
    </row>
    <row r="989" spans="1:26" ht="15.75" customHeight="1">
      <c r="A989" s="142"/>
      <c r="B989" s="141"/>
      <c r="C989" s="142"/>
      <c r="D989" s="142"/>
      <c r="E989" s="86"/>
      <c r="F989" s="86"/>
      <c r="G989" s="140"/>
      <c r="H989" s="140"/>
      <c r="I989" s="140"/>
      <c r="J989" s="140"/>
      <c r="K989" s="140"/>
      <c r="L989" s="140"/>
      <c r="M989" s="140"/>
      <c r="N989" s="140"/>
      <c r="O989" s="140"/>
      <c r="P989" s="140"/>
      <c r="Q989" s="140"/>
      <c r="R989" s="140"/>
      <c r="S989" s="140"/>
      <c r="T989" s="140"/>
      <c r="U989" s="140"/>
      <c r="V989" s="140"/>
      <c r="W989" s="140"/>
      <c r="X989" s="140"/>
      <c r="Y989" s="140"/>
      <c r="Z989" s="140"/>
    </row>
    <row r="990" spans="1:26" ht="15.75" customHeight="1">
      <c r="A990" s="142"/>
      <c r="B990" s="141"/>
      <c r="C990" s="142"/>
      <c r="D990" s="142"/>
      <c r="E990" s="86"/>
      <c r="F990" s="86"/>
      <c r="G990" s="140"/>
      <c r="H990" s="140"/>
      <c r="I990" s="140"/>
      <c r="J990" s="140"/>
      <c r="K990" s="140"/>
      <c r="L990" s="140"/>
      <c r="M990" s="140"/>
      <c r="N990" s="140"/>
      <c r="O990" s="140"/>
      <c r="P990" s="140"/>
      <c r="Q990" s="140"/>
      <c r="R990" s="140"/>
      <c r="S990" s="140"/>
      <c r="T990" s="140"/>
      <c r="U990" s="140"/>
      <c r="V990" s="140"/>
      <c r="W990" s="140"/>
      <c r="X990" s="140"/>
      <c r="Y990" s="140"/>
      <c r="Z990" s="140"/>
    </row>
    <row r="991" spans="1:26" ht="15.75" customHeight="1">
      <c r="A991" s="142"/>
      <c r="B991" s="141"/>
      <c r="C991" s="142"/>
      <c r="D991" s="142"/>
      <c r="E991" s="86"/>
      <c r="F991" s="86"/>
      <c r="G991" s="140"/>
      <c r="H991" s="140"/>
      <c r="I991" s="140"/>
      <c r="J991" s="140"/>
      <c r="K991" s="140"/>
      <c r="L991" s="140"/>
      <c r="M991" s="140"/>
      <c r="N991" s="140"/>
      <c r="O991" s="140"/>
      <c r="P991" s="140"/>
      <c r="Q991" s="140"/>
      <c r="R991" s="140"/>
      <c r="S991" s="140"/>
      <c r="T991" s="140"/>
      <c r="U991" s="140"/>
      <c r="V991" s="140"/>
      <c r="W991" s="140"/>
      <c r="X991" s="140"/>
      <c r="Y991" s="140"/>
      <c r="Z991" s="140"/>
    </row>
    <row r="992" spans="1:26" ht="15.75" customHeight="1">
      <c r="A992" s="142"/>
      <c r="B992" s="141"/>
      <c r="C992" s="142"/>
      <c r="D992" s="142"/>
      <c r="E992" s="86"/>
      <c r="F992" s="86"/>
      <c r="G992" s="140"/>
      <c r="H992" s="140"/>
      <c r="I992" s="140"/>
      <c r="J992" s="140"/>
      <c r="K992" s="140"/>
      <c r="L992" s="140"/>
      <c r="M992" s="140"/>
      <c r="N992" s="140"/>
      <c r="O992" s="140"/>
      <c r="P992" s="140"/>
      <c r="Q992" s="140"/>
      <c r="R992" s="140"/>
      <c r="S992" s="140"/>
      <c r="T992" s="140"/>
      <c r="U992" s="140"/>
      <c r="V992" s="140"/>
      <c r="W992" s="140"/>
      <c r="X992" s="140"/>
      <c r="Y992" s="140"/>
      <c r="Z992" s="140"/>
    </row>
    <row r="993" spans="1:26" ht="15.75" customHeight="1">
      <c r="A993" s="142"/>
      <c r="B993" s="141"/>
      <c r="C993" s="142"/>
      <c r="D993" s="142"/>
      <c r="E993" s="86"/>
      <c r="F993" s="86"/>
      <c r="G993" s="140"/>
      <c r="H993" s="140"/>
      <c r="I993" s="140"/>
      <c r="J993" s="140"/>
      <c r="K993" s="140"/>
      <c r="L993" s="140"/>
      <c r="M993" s="140"/>
      <c r="N993" s="140"/>
      <c r="O993" s="140"/>
      <c r="P993" s="140"/>
      <c r="Q993" s="140"/>
      <c r="R993" s="140"/>
      <c r="S993" s="140"/>
      <c r="T993" s="140"/>
      <c r="U993" s="140"/>
      <c r="V993" s="140"/>
      <c r="W993" s="140"/>
      <c r="X993" s="140"/>
      <c r="Y993" s="140"/>
      <c r="Z993" s="140"/>
    </row>
    <row r="994" spans="1:26" ht="15.75" customHeight="1">
      <c r="A994" s="142"/>
      <c r="B994" s="141"/>
      <c r="C994" s="142"/>
      <c r="D994" s="142"/>
      <c r="E994" s="86"/>
      <c r="F994" s="86"/>
      <c r="G994" s="140"/>
      <c r="H994" s="140"/>
      <c r="I994" s="140"/>
      <c r="J994" s="140"/>
      <c r="K994" s="140"/>
      <c r="L994" s="140"/>
      <c r="M994" s="140"/>
      <c r="N994" s="140"/>
      <c r="O994" s="140"/>
      <c r="P994" s="140"/>
      <c r="Q994" s="140"/>
      <c r="R994" s="140"/>
      <c r="S994" s="140"/>
      <c r="T994" s="140"/>
      <c r="U994" s="140"/>
      <c r="V994" s="140"/>
      <c r="W994" s="140"/>
      <c r="X994" s="140"/>
      <c r="Y994" s="140"/>
      <c r="Z994" s="140"/>
    </row>
    <row r="995" spans="1:26" ht="15.75" customHeight="1">
      <c r="A995" s="142"/>
      <c r="B995" s="141"/>
      <c r="C995" s="142"/>
      <c r="D995" s="142"/>
      <c r="E995" s="86"/>
      <c r="F995" s="86"/>
      <c r="G995" s="140"/>
      <c r="H995" s="140"/>
      <c r="I995" s="140"/>
      <c r="J995" s="140"/>
      <c r="K995" s="140"/>
      <c r="L995" s="140"/>
      <c r="M995" s="140"/>
      <c r="N995" s="140"/>
      <c r="O995" s="140"/>
      <c r="P995" s="140"/>
      <c r="Q995" s="140"/>
      <c r="R995" s="140"/>
      <c r="S995" s="140"/>
      <c r="T995" s="140"/>
      <c r="U995" s="140"/>
      <c r="V995" s="140"/>
      <c r="W995" s="140"/>
      <c r="X995" s="140"/>
      <c r="Y995" s="140"/>
      <c r="Z995" s="140"/>
    </row>
    <row r="996" spans="1:26" ht="15.75" customHeight="1">
      <c r="A996" s="142"/>
      <c r="B996" s="141"/>
      <c r="C996" s="142"/>
      <c r="D996" s="142"/>
      <c r="E996" s="86"/>
      <c r="F996" s="86"/>
      <c r="G996" s="140"/>
      <c r="H996" s="140"/>
      <c r="I996" s="140"/>
      <c r="J996" s="140"/>
      <c r="K996" s="140"/>
      <c r="L996" s="140"/>
      <c r="M996" s="140"/>
      <c r="N996" s="140"/>
      <c r="O996" s="140"/>
      <c r="P996" s="140"/>
      <c r="Q996" s="140"/>
      <c r="R996" s="140"/>
      <c r="S996" s="140"/>
      <c r="T996" s="140"/>
      <c r="U996" s="140"/>
      <c r="V996" s="140"/>
      <c r="W996" s="140"/>
      <c r="X996" s="140"/>
      <c r="Y996" s="140"/>
      <c r="Z996" s="140"/>
    </row>
    <row r="997" spans="1:26" ht="15.75" customHeight="1">
      <c r="A997" s="142"/>
      <c r="B997" s="141"/>
      <c r="C997" s="142"/>
      <c r="D997" s="142"/>
      <c r="E997" s="86"/>
      <c r="F997" s="86"/>
      <c r="G997" s="140"/>
      <c r="H997" s="140"/>
      <c r="I997" s="140"/>
      <c r="J997" s="140"/>
      <c r="K997" s="140"/>
      <c r="L997" s="140"/>
      <c r="M997" s="140"/>
      <c r="N997" s="140"/>
      <c r="O997" s="140"/>
      <c r="P997" s="140"/>
      <c r="Q997" s="140"/>
      <c r="R997" s="140"/>
      <c r="S997" s="140"/>
      <c r="T997" s="140"/>
      <c r="U997" s="140"/>
      <c r="V997" s="140"/>
      <c r="W997" s="140"/>
      <c r="X997" s="140"/>
      <c r="Y997" s="140"/>
      <c r="Z997" s="140"/>
    </row>
    <row r="998" spans="1:26" ht="15.75" customHeight="1">
      <c r="A998" s="142"/>
      <c r="B998" s="141"/>
      <c r="C998" s="142"/>
      <c r="D998" s="142"/>
      <c r="E998" s="86"/>
      <c r="F998" s="86"/>
      <c r="G998" s="140"/>
      <c r="H998" s="140"/>
      <c r="I998" s="140"/>
      <c r="J998" s="140"/>
      <c r="K998" s="140"/>
      <c r="L998" s="140"/>
      <c r="M998" s="140"/>
      <c r="N998" s="140"/>
      <c r="O998" s="140"/>
      <c r="P998" s="140"/>
      <c r="Q998" s="140"/>
      <c r="R998" s="140"/>
      <c r="S998" s="140"/>
      <c r="T998" s="140"/>
      <c r="U998" s="140"/>
      <c r="V998" s="140"/>
      <c r="W998" s="140"/>
      <c r="X998" s="140"/>
      <c r="Y998" s="140"/>
      <c r="Z998" s="140"/>
    </row>
    <row r="999" spans="1:26" ht="15.75" customHeight="1">
      <c r="A999" s="142"/>
      <c r="B999" s="141"/>
      <c r="C999" s="142"/>
      <c r="D999" s="142"/>
      <c r="E999" s="86"/>
      <c r="F999" s="86"/>
      <c r="G999" s="140"/>
      <c r="H999" s="140"/>
      <c r="I999" s="140"/>
      <c r="J999" s="140"/>
      <c r="K999" s="140"/>
      <c r="L999" s="140"/>
      <c r="M999" s="140"/>
      <c r="N999" s="140"/>
      <c r="O999" s="140"/>
      <c r="P999" s="140"/>
      <c r="Q999" s="140"/>
      <c r="R999" s="140"/>
      <c r="S999" s="140"/>
      <c r="T999" s="140"/>
      <c r="U999" s="140"/>
      <c r="V999" s="140"/>
      <c r="W999" s="140"/>
      <c r="X999" s="140"/>
      <c r="Y999" s="140"/>
      <c r="Z999" s="140"/>
    </row>
    <row r="1000" spans="1:26" ht="15.75" customHeight="1">
      <c r="A1000" s="142"/>
      <c r="B1000" s="141"/>
      <c r="C1000" s="142"/>
      <c r="D1000" s="142"/>
      <c r="E1000" s="86"/>
      <c r="F1000" s="86"/>
      <c r="G1000" s="140"/>
      <c r="H1000" s="140"/>
      <c r="I1000" s="140"/>
      <c r="J1000" s="140"/>
      <c r="K1000" s="140"/>
      <c r="L1000" s="140"/>
      <c r="M1000" s="140"/>
      <c r="N1000" s="140"/>
      <c r="O1000" s="140"/>
      <c r="P1000" s="140"/>
      <c r="Q1000" s="140"/>
      <c r="R1000" s="140"/>
      <c r="S1000" s="140"/>
      <c r="T1000" s="140"/>
      <c r="U1000" s="140"/>
      <c r="V1000" s="140"/>
      <c r="W1000" s="140"/>
      <c r="X1000" s="140"/>
      <c r="Y1000" s="140"/>
      <c r="Z1000" s="140"/>
    </row>
  </sheetData>
  <autoFilter ref="A1:F386"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location=".UpSXwMSnp0A"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location=".UcwanjsyaSo" xr:uid="{00000000-0004-0000-0300-000018000000}"/>
    <hyperlink ref="B27" r:id="rId26" location=".Ucfj2DtkMg4" xr:uid="{00000000-0004-0000-0300-000019000000}"/>
    <hyperlink ref="B28" r:id="rId27" location=".UcwawzsyaSp" xr:uid="{00000000-0004-0000-0300-00001A000000}"/>
    <hyperlink ref="B29" r:id="rId28" location=".UcfjCTtkMg4" xr:uid="{00000000-0004-0000-0300-00001B000000}"/>
    <hyperlink ref="B30" r:id="rId29" location=".Ucfi2jtkMg4" xr:uid="{00000000-0004-0000-0300-00001C000000}"/>
    <hyperlink ref="B31" r:id="rId30" location=".UcfixTtkMg4" xr:uid="{00000000-0004-0000-0300-00001D000000}"/>
    <hyperlink ref="B32" r:id="rId31" location=".UcfiqztkMg4" xr:uid="{00000000-0004-0000-0300-00001E000000}"/>
    <hyperlink ref="B33" r:id="rId32" location=".UcfigTtkMg4" xr:uid="{00000000-0004-0000-0300-00001F000000}"/>
    <hyperlink ref="B34" r:id="rId33" location=".UcfibjtkMg4" xr:uid="{00000000-0004-0000-0300-000020000000}"/>
    <hyperlink ref="B35" r:id="rId34" location=".UcfiWTtkMg4" xr:uid="{00000000-0004-0000-0300-000021000000}"/>
    <hyperlink ref="B36" r:id="rId35" location=".UcfiQDtkMg4" xr:uid="{00000000-0004-0000-0300-000022000000}"/>
    <hyperlink ref="B37" r:id="rId36" location=".UcfiLDtkMg4" xr:uid="{00000000-0004-0000-0300-000023000000}"/>
    <hyperlink ref="B38" r:id="rId37" location=".UcfiCTtkMg4" xr:uid="{00000000-0004-0000-0300-000024000000}"/>
    <hyperlink ref="B39" r:id="rId38" location=".Ucfg9DtkMg4" xr:uid="{00000000-0004-0000-0300-000025000000}"/>
    <hyperlink ref="B40" r:id="rId39" location=".Ucfg9DtkMg4" xr:uid="{00000000-0004-0000-0300-000026000000}"/>
    <hyperlink ref="B41" r:id="rId40" location=".UcffEjtkMg4" xr:uid="{00000000-0004-0000-0300-000027000000}"/>
    <hyperlink ref="B42" r:id="rId41" location=".Ucfe9jtkMg4" xr:uid="{00000000-0004-0000-0300-000028000000}"/>
    <hyperlink ref="B43" r:id="rId42" location=".UcfeyTtkMg4" xr:uid="{00000000-0004-0000-0300-000029000000}"/>
    <hyperlink ref="B44" r:id="rId43" location=".UcfekDtkMg4" xr:uid="{00000000-0004-0000-0300-00002A000000}"/>
    <hyperlink ref="B45" r:id="rId44" location=".UcfeZztkMg4" xr:uid="{00000000-0004-0000-0300-00002B000000}"/>
    <hyperlink ref="B46" r:id="rId45" location=".UcfeOztkMg4" xr:uid="{00000000-0004-0000-0300-00002C000000}"/>
    <hyperlink ref="B47" r:id="rId46" location=".UcfduDtkMg4" xr:uid="{00000000-0004-0000-0300-00002D000000}"/>
    <hyperlink ref="B48" r:id="rId47" location=".UcfdcDtkMg4" xr:uid="{00000000-0004-0000-0300-00002E000000}"/>
    <hyperlink ref="B49" r:id="rId48" location=".UcfdPztkMg4" xr:uid="{00000000-0004-0000-0300-00002F000000}"/>
    <hyperlink ref="B50" r:id="rId49" location=".UcfdHDtkMg4" xr:uid="{00000000-0004-0000-0300-000030000000}"/>
    <hyperlink ref="B51" r:id="rId50" location=".UcfdBDtkMg5" xr:uid="{00000000-0004-0000-0300-000031000000}"/>
    <hyperlink ref="B52" r:id="rId51" location=".UcfcjjtkMg4" xr:uid="{00000000-0004-0000-0300-000032000000}"/>
    <hyperlink ref="B53" r:id="rId52" location=".UcfcdDtkMg4" xr:uid="{00000000-0004-0000-0300-000033000000}"/>
    <hyperlink ref="B54" r:id="rId53" location=".UcfcVTtkMg4" xr:uid="{00000000-0004-0000-0300-000034000000}"/>
    <hyperlink ref="B55" r:id="rId54" location=".UcfcPTtkMg4" xr:uid="{00000000-0004-0000-0300-000035000000}"/>
    <hyperlink ref="B56" r:id="rId55" location=".UcfcJztkMg4" xr:uid="{00000000-0004-0000-0300-000036000000}"/>
    <hyperlink ref="B57" r:id="rId56" location=".UcfcDjtkMg4" xr:uid="{00000000-0004-0000-0300-000037000000}"/>
    <hyperlink ref="B58" r:id="rId57" location=".Ucfb9jtkMg4" xr:uid="{00000000-0004-0000-0300-000038000000}"/>
    <hyperlink ref="B59" r:id="rId58" location=".Ucfb3ztkMg4" xr:uid="{00000000-0004-0000-0300-000039000000}"/>
    <hyperlink ref="B60" r:id="rId59" location=".UcfbzDtkMg4" xr:uid="{00000000-0004-0000-0300-00003A000000}"/>
    <hyperlink ref="B61" r:id="rId60" location=".UcfbrjtkMg4" xr:uid="{00000000-0004-0000-0300-00003B000000}"/>
    <hyperlink ref="B62" r:id="rId61" location=".UcfbhztkMg4" xr:uid="{00000000-0004-0000-0300-00003C000000}"/>
    <hyperlink ref="B63" r:id="rId62" location=".UcfbKTtkMg4" xr:uid="{00000000-0004-0000-0300-00003D000000}"/>
    <hyperlink ref="B64" r:id="rId63" location=".Ucfa5ztkMg4" xr:uid="{00000000-0004-0000-0300-00003E000000}"/>
    <hyperlink ref="B65" r:id="rId64" location=".UcfaqDtkMg4" xr:uid="{00000000-0004-0000-0300-00003F000000}"/>
    <hyperlink ref="B66" r:id="rId65" location=".UcfaVDtkMg4" xr:uid="{00000000-0004-0000-0300-000040000000}"/>
    <hyperlink ref="B68" r:id="rId66" location=".UcfaCztkMg4" xr:uid="{00000000-0004-0000-0300-000041000000}"/>
    <hyperlink ref="B69" r:id="rId67" location=".UcfZ9DtkMg4" xr:uid="{00000000-0004-0000-0300-000042000000}"/>
    <hyperlink ref="B70" r:id="rId68" location=".UcfZzDtkMg4" xr:uid="{00000000-0004-0000-0300-000043000000}"/>
    <hyperlink ref="B71" r:id="rId69" location=".UcfZuTtkMg4" xr:uid="{00000000-0004-0000-0300-000044000000}"/>
    <hyperlink ref="B72" r:id="rId70" location=".UcfZkztkMg4" xr:uid="{00000000-0004-0000-0300-000045000000}"/>
    <hyperlink ref="B73" r:id="rId71" location=".UcfZgDtkMg4" xr:uid="{00000000-0004-0000-0300-000046000000}"/>
    <hyperlink ref="B74" r:id="rId72" location=".UcfZVztkMg4" xr:uid="{00000000-0004-0000-0300-000047000000}"/>
    <hyperlink ref="B75" r:id="rId73" location=".UcfZITtkMg4" xr:uid="{00000000-0004-0000-0300-000048000000}"/>
    <hyperlink ref="B76" r:id="rId74" location=".UcfY7jtkMg4" xr:uid="{00000000-0004-0000-0300-000049000000}"/>
    <hyperlink ref="B77" r:id="rId75" location=".UcfY2TtkMg4" xr:uid="{00000000-0004-0000-0300-00004A000000}"/>
    <hyperlink ref="B78" r:id="rId76" location=".UcfYpTtkMg4" xr:uid="{00000000-0004-0000-0300-00004B000000}"/>
    <hyperlink ref="B79" r:id="rId77" location=".UcfYlDtkMg4" xr:uid="{00000000-0004-0000-0300-00004C000000}"/>
    <hyperlink ref="B80" r:id="rId78" location=".UcfYdztkMg4" xr:uid="{00000000-0004-0000-0300-00004D000000}"/>
    <hyperlink ref="B81" r:id="rId79" location=".UcfYYDtkMg4" xr:uid="{00000000-0004-0000-0300-00004E000000}"/>
    <hyperlink ref="B82" r:id="rId80" location=".UcfYRjtkMg4" xr:uid="{00000000-0004-0000-0300-00004F000000}"/>
    <hyperlink ref="B83" r:id="rId81" location=".UcfYMDtkMg4" xr:uid="{00000000-0004-0000-0300-000050000000}"/>
    <hyperlink ref="B84" r:id="rId82" location=".UcfYGztkMg4" xr:uid="{00000000-0004-0000-0300-000051000000}"/>
    <hyperlink ref="B85" r:id="rId83" location=".UcfYAztkMg4" xr:uid="{00000000-0004-0000-0300-000052000000}"/>
    <hyperlink ref="B86" r:id="rId84" location=".UcfXuTtkMg4" xr:uid="{00000000-0004-0000-0300-000053000000}"/>
    <hyperlink ref="B87" r:id="rId85" xr:uid="{00000000-0004-0000-0300-000054000000}"/>
    <hyperlink ref="B88" r:id="rId86" xr:uid="{00000000-0004-0000-0300-000055000000}"/>
    <hyperlink ref="B89" r:id="rId87" xr:uid="{00000000-0004-0000-0300-000056000000}"/>
    <hyperlink ref="B90" r:id="rId88" xr:uid="{00000000-0004-0000-0300-000057000000}"/>
    <hyperlink ref="B91" r:id="rId89" xr:uid="{00000000-0004-0000-0300-000058000000}"/>
    <hyperlink ref="B92" r:id="rId90" xr:uid="{00000000-0004-0000-0300-000059000000}"/>
    <hyperlink ref="B93" r:id="rId91" xr:uid="{00000000-0004-0000-0300-00005A000000}"/>
    <hyperlink ref="B94" r:id="rId92" xr:uid="{00000000-0004-0000-0300-00005B000000}"/>
    <hyperlink ref="B95" r:id="rId93" xr:uid="{00000000-0004-0000-0300-00005C000000}"/>
    <hyperlink ref="B96" r:id="rId94" xr:uid="{00000000-0004-0000-0300-00005D000000}"/>
    <hyperlink ref="B97" r:id="rId95" xr:uid="{00000000-0004-0000-0300-00005E000000}"/>
    <hyperlink ref="B98" r:id="rId96" xr:uid="{00000000-0004-0000-0300-00005F000000}"/>
    <hyperlink ref="B99" r:id="rId97" xr:uid="{00000000-0004-0000-0300-000060000000}"/>
    <hyperlink ref="B100" r:id="rId98" xr:uid="{00000000-0004-0000-0300-000061000000}"/>
    <hyperlink ref="B101" r:id="rId99" xr:uid="{00000000-0004-0000-0300-000062000000}"/>
    <hyperlink ref="B102" r:id="rId100" location=".UcfOjDtkMg4" xr:uid="{00000000-0004-0000-0300-000063000000}"/>
    <hyperlink ref="B103" r:id="rId101" location=".UcfO3DtkMg4" xr:uid="{00000000-0004-0000-0300-000064000000}"/>
    <hyperlink ref="B104" r:id="rId102" location=".UcfO_ztkMg4" xr:uid="{00000000-0004-0000-0300-000065000000}"/>
    <hyperlink ref="B105" r:id="rId103" location=".UcfPTjtkMg4" xr:uid="{00000000-0004-0000-0300-000066000000}"/>
    <hyperlink ref="B106" r:id="rId104" location=".UcfPdTtkMg4" xr:uid="{00000000-0004-0000-0300-000067000000}"/>
    <hyperlink ref="B107" r:id="rId105" location=".UcfPijtkMg4" xr:uid="{00000000-0004-0000-0300-000068000000}"/>
    <hyperlink ref="B108" r:id="rId106" location=".UcfPvDtkMg4" xr:uid="{00000000-0004-0000-0300-000069000000}"/>
    <hyperlink ref="B109" r:id="rId107" location=".UcfQXztkMg4" xr:uid="{00000000-0004-0000-0300-00006A000000}"/>
    <hyperlink ref="B110" r:id="rId108" location=".UcfQhztkMg4" xr:uid="{00000000-0004-0000-0300-00006B000000}"/>
    <hyperlink ref="B111" r:id="rId109" location=".UcfQzTtkMg4" xr:uid="{00000000-0004-0000-0300-00006C000000}"/>
    <hyperlink ref="B112" r:id="rId110" location=".UcfQ3TtkMg4" xr:uid="{00000000-0004-0000-0300-00006D000000}"/>
    <hyperlink ref="B113" r:id="rId111" location=".UcfRATtkMg4" xr:uid="{00000000-0004-0000-0300-00006E000000}"/>
    <hyperlink ref="B114" r:id="rId112" location=".UcfRQDtkMg4" xr:uid="{00000000-0004-0000-0300-00006F000000}"/>
    <hyperlink ref="B115" r:id="rId113" location=".UcfRUjtkMg4" xr:uid="{00000000-0004-0000-0300-000070000000}"/>
    <hyperlink ref="B116" r:id="rId114" location=".UcfRiDtkMg4" xr:uid="{00000000-0004-0000-0300-000071000000}"/>
    <hyperlink ref="B117" r:id="rId115" location=".UcfRiDtkMg4" xr:uid="{00000000-0004-0000-0300-000072000000}"/>
    <hyperlink ref="B118" r:id="rId116" location=".UcfRqDtkMg4" xr:uid="{00000000-0004-0000-0300-000073000000}"/>
    <hyperlink ref="B119" r:id="rId117" location=".UcfSJjtkMg4" xr:uid="{00000000-0004-0000-0300-000074000000}"/>
    <hyperlink ref="B120" r:id="rId118" location=".UcfR7jtkMg4" xr:uid="{00000000-0004-0000-0300-000075000000}"/>
    <hyperlink ref="B121" r:id="rId119" location=".UcfSRTtkMg4" xr:uid="{00000000-0004-0000-0300-000076000000}"/>
    <hyperlink ref="B122" r:id="rId120" location=".UcfSbTtkMg4" xr:uid="{00000000-0004-0000-0300-000077000000}"/>
    <hyperlink ref="B123" r:id="rId121" location=".UcfSgztkMg4" xr:uid="{00000000-0004-0000-0300-000078000000}"/>
    <hyperlink ref="B124" r:id="rId122" location=".UcfSmTtkMg4" xr:uid="{00000000-0004-0000-0300-000079000000}"/>
    <hyperlink ref="B125" r:id="rId123" location=".UcfS8DtkMg4" xr:uid="{00000000-0004-0000-0300-00007A000000}"/>
    <hyperlink ref="B126" r:id="rId124" location=".UcfTAjtkMg4" xr:uid="{00000000-0004-0000-0300-00007B000000}"/>
    <hyperlink ref="B127" r:id="rId125" location=".UcfTOjtkMg4" xr:uid="{00000000-0004-0000-0300-00007C000000}"/>
    <hyperlink ref="B128" r:id="rId126" location=".UcfTVTtkMg4" xr:uid="{00000000-0004-0000-0300-00007D000000}"/>
    <hyperlink ref="B129" r:id="rId127" location=".UcfT_ztkMg4" xr:uid="{00000000-0004-0000-0300-00007E000000}"/>
    <hyperlink ref="B131" r:id="rId128" location=".UtUvsfQW0rg" xr:uid="{00000000-0004-0000-0300-00007F000000}"/>
    <hyperlink ref="B132" r:id="rId129" location=".UcfUQjtkMg4" xr:uid="{00000000-0004-0000-0300-000080000000}"/>
    <hyperlink ref="B133" r:id="rId130" location=".UcfUejtkMg4" xr:uid="{00000000-0004-0000-0300-000081000000}"/>
    <hyperlink ref="B134" r:id="rId131" location=".UcfUkztkMg4" xr:uid="{00000000-0004-0000-0300-000082000000}"/>
    <hyperlink ref="B135" r:id="rId132" location=".UcfUrDtkMg4" xr:uid="{00000000-0004-0000-0300-000083000000}"/>
    <hyperlink ref="B136" r:id="rId133" location=".UcfVBjtkMg4" xr:uid="{00000000-0004-0000-0300-000084000000}"/>
    <hyperlink ref="B137" r:id="rId134" location=".UcfVAjtkMg4" xr:uid="{00000000-0004-0000-0300-000085000000}"/>
    <hyperlink ref="B138" r:id="rId135" location=".UcfVMztkMg4" xr:uid="{00000000-0004-0000-0300-000086000000}"/>
    <hyperlink ref="B139" r:id="rId136" location=".UcfVWjtkMg4" xr:uid="{00000000-0004-0000-0300-000087000000}"/>
    <hyperlink ref="B140" r:id="rId137" location=".UcfVaTtkMg4" xr:uid="{00000000-0004-0000-0300-000088000000}"/>
    <hyperlink ref="B141" r:id="rId138" location=".UcfVfjtkMg4" xr:uid="{00000000-0004-0000-0300-000089000000}"/>
    <hyperlink ref="B142" r:id="rId139" location=".UcfVkTtkMg4" xr:uid="{00000000-0004-0000-0300-00008A000000}"/>
    <hyperlink ref="B143" r:id="rId140" location=".UcfVqTtkMg4" xr:uid="{00000000-0004-0000-0300-00008B000000}"/>
    <hyperlink ref="B144" r:id="rId141" location=".UcfVxTtkMg4" xr:uid="{00000000-0004-0000-0300-00008C000000}"/>
    <hyperlink ref="B145" r:id="rId142" location=".UcfV2ztkMg4" xr:uid="{00000000-0004-0000-0300-00008D000000}"/>
    <hyperlink ref="B146" r:id="rId143" location=".UcfWFztkMg4" xr:uid="{00000000-0004-0000-0300-00008E000000}"/>
    <hyperlink ref="B147" r:id="rId144" location=".UcfWKTtkMg4" xr:uid="{00000000-0004-0000-0300-00008F000000}"/>
    <hyperlink ref="B148" r:id="rId145" location=".UcfWUztkMg4" xr:uid="{00000000-0004-0000-0300-000090000000}"/>
    <hyperlink ref="B149" r:id="rId146" location=".UcfWaDtkMg4" xr:uid="{00000000-0004-0000-0300-000091000000}"/>
    <hyperlink ref="B150" r:id="rId147" location=".UcfWfTtkMg4" xr:uid="{00000000-0004-0000-0300-000092000000}"/>
    <hyperlink ref="B151" r:id="rId148" xr:uid="{00000000-0004-0000-0300-000093000000}"/>
    <hyperlink ref="B152" r:id="rId149" location=".UcMxwDsa4Qo" xr:uid="{00000000-0004-0000-0300-000094000000}"/>
    <hyperlink ref="B153" r:id="rId150" location=".UcMxkTsa4Qo" xr:uid="{00000000-0004-0000-0300-000095000000}"/>
    <hyperlink ref="B154" r:id="rId151" location=".UcMx5Dsa4Qo" xr:uid="{00000000-0004-0000-0300-000096000000}"/>
    <hyperlink ref="B155" r:id="rId152" location=".UcMyHzsa4Qo" xr:uid="{00000000-0004-0000-0300-000097000000}"/>
    <hyperlink ref="B156" r:id="rId153" location=".UcMx-Dsa4Qo" xr:uid="{00000000-0004-0000-0300-000098000000}"/>
    <hyperlink ref="B157" r:id="rId154" location=".UcMyRjsa4Qo" xr:uid="{00000000-0004-0000-0300-000099000000}"/>
    <hyperlink ref="B158" r:id="rId155" location=".UcMymTsa4Qo" xr:uid="{00000000-0004-0000-0300-00009A000000}"/>
    <hyperlink ref="B159" r:id="rId156" location=".UcMyfzsa4Qo" xr:uid="{00000000-0004-0000-0300-00009B000000}"/>
    <hyperlink ref="B160" r:id="rId157" xr:uid="{00000000-0004-0000-0300-00009C000000}"/>
    <hyperlink ref="B161" r:id="rId158" location=".UcMyMzsa4Qo" xr:uid="{00000000-0004-0000-0300-00009D000000}"/>
    <hyperlink ref="B162" r:id="rId159" location=".UcM09Tsa4Qo" xr:uid="{00000000-0004-0000-0300-00009E000000}"/>
    <hyperlink ref="B163" r:id="rId160" location=".UcM1NDsa4Qo" xr:uid="{00000000-0004-0000-0300-00009F000000}"/>
    <hyperlink ref="B164" r:id="rId161" xr:uid="{00000000-0004-0000-0300-0000A0000000}"/>
    <hyperlink ref="B165" r:id="rId162" location=".UcM1Tzsa4Qo" xr:uid="{00000000-0004-0000-0300-0000A1000000}"/>
    <hyperlink ref="B166" r:id="rId163" location=".UcM1azsa4Qo" xr:uid="{00000000-0004-0000-0300-0000A2000000}"/>
    <hyperlink ref="B167" r:id="rId164" location=".UcQMnzsa4Qo" xr:uid="{00000000-0004-0000-0300-0000A3000000}"/>
    <hyperlink ref="B168" r:id="rId165" location=".UcQNVzsa4Qo" xr:uid="{00000000-0004-0000-0300-0000A4000000}"/>
    <hyperlink ref="B169" r:id="rId166" location=".UcQOkTsa4Qo" xr:uid="{00000000-0004-0000-0300-0000A5000000}"/>
    <hyperlink ref="B170" r:id="rId167" location=".UcfwOjsa4Qo" xr:uid="{00000000-0004-0000-0300-0000A6000000}"/>
    <hyperlink ref="B171" r:id="rId168" location=".UcQPGzsa4Qo" xr:uid="{00000000-0004-0000-0300-0000A7000000}"/>
    <hyperlink ref="B172" r:id="rId169" location=".Ubcb0uca4Qo" xr:uid="{00000000-0004-0000-0300-0000A8000000}"/>
    <hyperlink ref="B173" r:id="rId170" location=".UbcbWeca4Qo" xr:uid="{00000000-0004-0000-0300-0000A9000000}"/>
    <hyperlink ref="B174" r:id="rId171" location=".Ubcaz-ca4Qo" xr:uid="{00000000-0004-0000-0300-0000AA000000}"/>
    <hyperlink ref="B175" r:id="rId172" location=".UbHRU-ca4Qo" xr:uid="{00000000-0004-0000-0300-0000AB000000}"/>
    <hyperlink ref="B176" r:id="rId173" location=".UbcbR-ca4Qo" xr:uid="{00000000-0004-0000-0300-0000AC000000}"/>
    <hyperlink ref="B177" r:id="rId174" location=".Ucgi7zsa4Qo" xr:uid="{00000000-0004-0000-0300-0000AD000000}"/>
    <hyperlink ref="B178" r:id="rId175" location=".UcgjUzsa4Qo" xr:uid="{00000000-0004-0000-0300-0000AE000000}"/>
    <hyperlink ref="B179" r:id="rId176" location=".UicU2DZHJe8" xr:uid="{00000000-0004-0000-0300-0000AF000000}"/>
    <hyperlink ref="B180" r:id="rId177" xr:uid="{00000000-0004-0000-0300-0000B0000000}"/>
    <hyperlink ref="B181" r:id="rId178" xr:uid="{00000000-0004-0000-0300-0000B1000000}"/>
    <hyperlink ref="B182" r:id="rId179" xr:uid="{00000000-0004-0000-0300-0000B2000000}"/>
    <hyperlink ref="B183" r:id="rId180" location=".UicUlTZHJe8" xr:uid="{00000000-0004-0000-0300-0000B3000000}"/>
    <hyperlink ref="B184" r:id="rId181" location=".UkKCjYZHJe8" xr:uid="{00000000-0004-0000-0300-0000B4000000}"/>
    <hyperlink ref="B185" r:id="rId182" location=".Uk0BPoZHJe8" xr:uid="{00000000-0004-0000-0300-0000B5000000}"/>
    <hyperlink ref="B186" r:id="rId183" location=".Ul-syPmnofQ" xr:uid="{00000000-0004-0000-0300-0000B6000000}"/>
    <hyperlink ref="B187" r:id="rId184" xr:uid="{00000000-0004-0000-0300-0000B7000000}"/>
    <hyperlink ref="B188" r:id="rId185" location=".Unvx4PmnofQ" xr:uid="{00000000-0004-0000-0300-0000B8000000}"/>
    <hyperlink ref="F188" r:id="rId186" xr:uid="{00000000-0004-0000-0300-0000B9000000}"/>
    <hyperlink ref="B189" r:id="rId187" location=".Unvy9PmnofQ" xr:uid="{00000000-0004-0000-0300-0000BA000000}"/>
    <hyperlink ref="B190" r:id="rId188" xr:uid="{00000000-0004-0000-0300-0000BB000000}"/>
    <hyperlink ref="B191" r:id="rId189" location=".UsQLQ_QW0rg" xr:uid="{00000000-0004-0000-0300-0000BC000000}"/>
    <hyperlink ref="B192" r:id="rId190" location=".UsQLJvQW0rg" xr:uid="{00000000-0004-0000-0300-0000BD000000}"/>
    <hyperlink ref="B193" r:id="rId191" xr:uid="{00000000-0004-0000-0300-0000BE000000}"/>
    <hyperlink ref="B194" r:id="rId192" location=".UsQK9_QW0rg" xr:uid="{00000000-0004-0000-0300-0000BF000000}"/>
    <hyperlink ref="B195" r:id="rId193" location=".UsQKKvQW0rg" xr:uid="{00000000-0004-0000-0300-0000C0000000}"/>
    <hyperlink ref="B196" r:id="rId194" location=".UtYeHvQW0rg" xr:uid="{00000000-0004-0000-0300-0000C1000000}"/>
    <hyperlink ref="B197" r:id="rId195" location=".UuZczBC3TIU" xr:uid="{00000000-0004-0000-0300-0000C2000000}"/>
    <hyperlink ref="B198" r:id="rId196" location=".UvC0dT2SySo" xr:uid="{00000000-0004-0000-0300-0000C3000000}"/>
    <hyperlink ref="B199" r:id="rId197" location=".UwRwE_mSwrg" xr:uid="{00000000-0004-0000-0300-0000C4000000}"/>
    <hyperlink ref="B200" r:id="rId198" location=".UyvIjvmSwrg" xr:uid="{00000000-0004-0000-0300-0000C5000000}"/>
    <hyperlink ref="B201" r:id="rId199" location=".UwRwa_mSwrg" xr:uid="{00000000-0004-0000-0300-0000C6000000}"/>
    <hyperlink ref="B202" r:id="rId200" location=".UyvIHfmSwrg" xr:uid="{00000000-0004-0000-0300-0000C7000000}"/>
    <hyperlink ref="B203" r:id="rId201" location=".UyKARvmSwrg" xr:uid="{00000000-0004-0000-0300-0000C8000000}"/>
    <hyperlink ref="B204" r:id="rId202" location=".Uyu8IvmSwrg" xr:uid="{00000000-0004-0000-0300-0000C9000000}"/>
    <hyperlink ref="B205" r:id="rId203" xr:uid="{00000000-0004-0000-0300-0000CA000000}"/>
    <hyperlink ref="B206" r:id="rId204" location=".U6KIYvmSwrg" xr:uid="{00000000-0004-0000-0300-0000CB000000}"/>
    <hyperlink ref="B207" r:id="rId205" location=".U6KI5vmSwrg" xr:uid="{00000000-0004-0000-0300-0000CC000000}"/>
    <hyperlink ref="B208" r:id="rId206" location=".U7ZMV_mSwrg" xr:uid="{00000000-0004-0000-0300-0000CD000000}"/>
    <hyperlink ref="B209" r:id="rId207" location=".U7ZLz_mSwrg" xr:uid="{00000000-0004-0000-0300-0000CE000000}"/>
    <hyperlink ref="B210" r:id="rId208" location=".U-C09fmSxkU" xr:uid="{00000000-0004-0000-0300-0000CF000000}"/>
    <hyperlink ref="B211" r:id="rId209" location=".U_shDPmSyVk" xr:uid="{00000000-0004-0000-0300-0000D0000000}"/>
    <hyperlink ref="B212" r:id="rId210" location=".U_sg2_mSyVk" xr:uid="{00000000-0004-0000-0300-0000D1000000}"/>
    <hyperlink ref="B213" r:id="rId211" location=".VDZMeGeSzVY" xr:uid="{00000000-0004-0000-0300-0000D2000000}"/>
    <hyperlink ref="B214" r:id="rId212" xr:uid="{00000000-0004-0000-0300-0000D3000000}"/>
    <hyperlink ref="B215" r:id="rId213" location=".VbX1LPmqqko" xr:uid="{00000000-0004-0000-0300-0000D4000000}"/>
    <hyperlink ref="B216" r:id="rId214" location=".VbX1pvmqqko" xr:uid="{00000000-0004-0000-0300-0000D5000000}"/>
    <hyperlink ref="B217" r:id="rId215" location=".VhNYJ_mqqko" xr:uid="{00000000-0004-0000-0300-0000D6000000}"/>
    <hyperlink ref="B218" r:id="rId216" location=".VhNYmvmqqko" xr:uid="{00000000-0004-0000-0300-0000D7000000}"/>
    <hyperlink ref="B219" r:id="rId217" location=".VhNZIfmqqko" xr:uid="{00000000-0004-0000-0300-0000D8000000}"/>
    <hyperlink ref="B220" r:id="rId218" xr:uid="{00000000-0004-0000-0300-0000D9000000}"/>
    <hyperlink ref="B221" r:id="rId219" xr:uid="{00000000-0004-0000-0300-0000DA000000}"/>
    <hyperlink ref="B222" r:id="rId220" location=".V0WIWvl97IU" xr:uid="{00000000-0004-0000-0300-0000DB000000}"/>
    <hyperlink ref="B223" r:id="rId221" location=".V0WP8_l97IV" xr:uid="{00000000-0004-0000-0300-0000DC000000}"/>
    <hyperlink ref="B224" r:id="rId222" location=".V0WQxPl97IV" xr:uid="{00000000-0004-0000-0300-0000DD000000}"/>
    <hyperlink ref="B225" r:id="rId223" xr:uid="{00000000-0004-0000-0300-0000DE000000}"/>
    <hyperlink ref="B226" r:id="rId224" xr:uid="{00000000-0004-0000-0300-0000DF000000}"/>
    <hyperlink ref="B227" r:id="rId225" xr:uid="{00000000-0004-0000-0300-0000E0000000}"/>
    <hyperlink ref="B228" r:id="rId226" xr:uid="{00000000-0004-0000-0300-0000E1000000}"/>
    <hyperlink ref="B229" r:id="rId227" xr:uid="{00000000-0004-0000-0300-0000E2000000}"/>
    <hyperlink ref="B230" r:id="rId228" xr:uid="{00000000-0004-0000-0300-0000E3000000}"/>
    <hyperlink ref="B231" r:id="rId229" xr:uid="{00000000-0004-0000-0300-0000E4000000}"/>
    <hyperlink ref="B232" r:id="rId230" xr:uid="{00000000-0004-0000-0300-0000E5000000}"/>
    <hyperlink ref="B233" r:id="rId231" xr:uid="{00000000-0004-0000-0300-0000E6000000}"/>
    <hyperlink ref="B234" r:id="rId232" xr:uid="{00000000-0004-0000-0300-0000E7000000}"/>
    <hyperlink ref="B235" r:id="rId233" xr:uid="{00000000-0004-0000-0300-0000E8000000}"/>
    <hyperlink ref="B236" r:id="rId234" xr:uid="{00000000-0004-0000-0300-0000E9000000}"/>
    <hyperlink ref="B237" r:id="rId235" xr:uid="{00000000-0004-0000-0300-0000EA000000}"/>
    <hyperlink ref="B238" r:id="rId236" xr:uid="{00000000-0004-0000-0300-0000EB000000}"/>
    <hyperlink ref="B239" r:id="rId237" xr:uid="{00000000-0004-0000-0300-0000EC000000}"/>
    <hyperlink ref="B240" r:id="rId238" xr:uid="{00000000-0004-0000-0300-0000ED000000}"/>
    <hyperlink ref="B241" r:id="rId239" xr:uid="{00000000-0004-0000-0300-0000EE000000}"/>
    <hyperlink ref="B242" r:id="rId240" xr:uid="{00000000-0004-0000-0300-0000EF000000}"/>
    <hyperlink ref="B243" r:id="rId241" xr:uid="{00000000-0004-0000-0300-0000F0000000}"/>
    <hyperlink ref="B244" r:id="rId242" xr:uid="{00000000-0004-0000-0300-0000F1000000}"/>
    <hyperlink ref="B245" r:id="rId243" xr:uid="{00000000-0004-0000-0300-0000F2000000}"/>
    <hyperlink ref="B246" r:id="rId244" xr:uid="{00000000-0004-0000-0300-0000F3000000}"/>
    <hyperlink ref="B247" r:id="rId245" xr:uid="{00000000-0004-0000-0300-0000F4000000}"/>
    <hyperlink ref="B248" r:id="rId246" xr:uid="{00000000-0004-0000-0300-0000F5000000}"/>
    <hyperlink ref="B249" r:id="rId247" xr:uid="{00000000-0004-0000-0300-0000F6000000}"/>
    <hyperlink ref="B250" r:id="rId248" xr:uid="{00000000-0004-0000-0300-0000F7000000}"/>
    <hyperlink ref="B251" r:id="rId249" xr:uid="{00000000-0004-0000-0300-0000F8000000}"/>
    <hyperlink ref="B252" r:id="rId250" xr:uid="{00000000-0004-0000-0300-0000F9000000}"/>
    <hyperlink ref="B253" r:id="rId251" xr:uid="{00000000-0004-0000-0300-0000FA000000}"/>
    <hyperlink ref="B254" r:id="rId252" xr:uid="{00000000-0004-0000-0300-0000FB000000}"/>
    <hyperlink ref="B255" r:id="rId253" xr:uid="{00000000-0004-0000-0300-0000FC000000}"/>
    <hyperlink ref="B256" r:id="rId254" xr:uid="{00000000-0004-0000-0300-0000FD000000}"/>
    <hyperlink ref="B257" r:id="rId255" xr:uid="{00000000-0004-0000-0300-0000FE000000}"/>
    <hyperlink ref="B258" r:id="rId256" xr:uid="{00000000-0004-0000-0300-0000FF000000}"/>
    <hyperlink ref="B259" r:id="rId257" xr:uid="{00000000-0004-0000-0300-000000010000}"/>
    <hyperlink ref="B260" r:id="rId258" xr:uid="{00000000-0004-0000-0300-000001010000}"/>
    <hyperlink ref="B261" r:id="rId259" xr:uid="{00000000-0004-0000-0300-000002010000}"/>
    <hyperlink ref="B262" r:id="rId260" xr:uid="{00000000-0004-0000-0300-000003010000}"/>
    <hyperlink ref="B263" r:id="rId261" xr:uid="{00000000-0004-0000-0300-000004010000}"/>
    <hyperlink ref="B264" r:id="rId262" xr:uid="{00000000-0004-0000-0300-000005010000}"/>
    <hyperlink ref="B265" r:id="rId263" xr:uid="{00000000-0004-0000-0300-000006010000}"/>
    <hyperlink ref="B266" r:id="rId264" xr:uid="{00000000-0004-0000-0300-000007010000}"/>
    <hyperlink ref="B268" r:id="rId265" xr:uid="{00000000-0004-0000-0300-000008010000}"/>
    <hyperlink ref="B269" r:id="rId266" xr:uid="{00000000-0004-0000-0300-000009010000}"/>
    <hyperlink ref="B270" r:id="rId267" xr:uid="{00000000-0004-0000-0300-00000A010000}"/>
    <hyperlink ref="B271" r:id="rId268" xr:uid="{00000000-0004-0000-0300-00000B010000}"/>
    <hyperlink ref="B272" r:id="rId269" xr:uid="{00000000-0004-0000-0300-00000C010000}"/>
    <hyperlink ref="B273" r:id="rId270" xr:uid="{00000000-0004-0000-0300-00000D010000}"/>
    <hyperlink ref="B279" r:id="rId271" xr:uid="{00000000-0004-0000-0300-00000E010000}"/>
    <hyperlink ref="B280" r:id="rId272" xr:uid="{00000000-0004-0000-0300-00000F010000}"/>
    <hyperlink ref="B281" r:id="rId273" xr:uid="{00000000-0004-0000-0300-000010010000}"/>
    <hyperlink ref="B282" r:id="rId274" xr:uid="{00000000-0004-0000-0300-000011010000}"/>
    <hyperlink ref="B283" r:id="rId275" xr:uid="{00000000-0004-0000-0300-000012010000}"/>
    <hyperlink ref="B284" r:id="rId276" xr:uid="{00000000-0004-0000-0300-000013010000}"/>
    <hyperlink ref="B285" r:id="rId277" xr:uid="{00000000-0004-0000-0300-000014010000}"/>
    <hyperlink ref="B286" r:id="rId278" xr:uid="{00000000-0004-0000-0300-000015010000}"/>
    <hyperlink ref="B287" r:id="rId279" xr:uid="{00000000-0004-0000-0300-000016010000}"/>
    <hyperlink ref="B288" r:id="rId280" xr:uid="{00000000-0004-0000-0300-000017010000}"/>
    <hyperlink ref="B289" r:id="rId281" xr:uid="{00000000-0004-0000-0300-000018010000}"/>
    <hyperlink ref="B290" r:id="rId282" xr:uid="{00000000-0004-0000-0300-000019010000}"/>
    <hyperlink ref="B291" r:id="rId283" xr:uid="{00000000-0004-0000-0300-00001A010000}"/>
    <hyperlink ref="B292" r:id="rId284" xr:uid="{00000000-0004-0000-0300-00001B010000}"/>
    <hyperlink ref="B293" r:id="rId285" xr:uid="{00000000-0004-0000-0300-00001C010000}"/>
    <hyperlink ref="B294" r:id="rId286" xr:uid="{00000000-0004-0000-0300-00001D010000}"/>
    <hyperlink ref="F294" r:id="rId287" xr:uid="{00000000-0004-0000-0300-00001E010000}"/>
    <hyperlink ref="B295" r:id="rId288" xr:uid="{00000000-0004-0000-0300-00001F010000}"/>
    <hyperlink ref="F295" r:id="rId289" xr:uid="{00000000-0004-0000-0300-000020010000}"/>
    <hyperlink ref="B296" r:id="rId290" xr:uid="{00000000-0004-0000-0300-000021010000}"/>
    <hyperlink ref="F296" r:id="rId291" xr:uid="{00000000-0004-0000-0300-000022010000}"/>
    <hyperlink ref="B297" r:id="rId292" xr:uid="{00000000-0004-0000-0300-000023010000}"/>
    <hyperlink ref="F297" r:id="rId293" xr:uid="{00000000-0004-0000-0300-000024010000}"/>
    <hyperlink ref="B298" r:id="rId294" xr:uid="{00000000-0004-0000-0300-000025010000}"/>
    <hyperlink ref="B299" r:id="rId295" xr:uid="{00000000-0004-0000-0300-000026010000}"/>
    <hyperlink ref="B300" r:id="rId296" xr:uid="{00000000-0004-0000-0300-000027010000}"/>
    <hyperlink ref="F300" r:id="rId297" xr:uid="{00000000-0004-0000-0300-000028010000}"/>
    <hyperlink ref="B301" r:id="rId298" xr:uid="{00000000-0004-0000-0300-000029010000}"/>
    <hyperlink ref="F301" r:id="rId299" display="Akhand Tiwari, Sonal Jaitlyand Rahul Chatterjee" xr:uid="{00000000-0004-0000-0300-00002A010000}"/>
    <hyperlink ref="B302" r:id="rId300" xr:uid="{00000000-0004-0000-0300-00002B010000}"/>
    <hyperlink ref="B303" r:id="rId301" xr:uid="{00000000-0004-0000-0300-00002C010000}"/>
    <hyperlink ref="B304" r:id="rId302" xr:uid="{00000000-0004-0000-0300-00002D010000}"/>
    <hyperlink ref="B305" r:id="rId303" xr:uid="{00000000-0004-0000-0300-00002E010000}"/>
    <hyperlink ref="B306" r:id="rId304" xr:uid="{00000000-0004-0000-0300-00002F010000}"/>
    <hyperlink ref="B307" r:id="rId305" xr:uid="{00000000-0004-0000-0300-000030010000}"/>
    <hyperlink ref="B308" r:id="rId306" xr:uid="{00000000-0004-0000-0300-000031010000}"/>
    <hyperlink ref="B309" r:id="rId307" xr:uid="{00000000-0004-0000-0300-000032010000}"/>
    <hyperlink ref="B310" r:id="rId308" xr:uid="{00000000-0004-0000-0300-000033010000}"/>
    <hyperlink ref="B311" r:id="rId309" xr:uid="{00000000-0004-0000-0300-000034010000}"/>
    <hyperlink ref="B312" r:id="rId310" xr:uid="{00000000-0004-0000-0300-000035010000}"/>
    <hyperlink ref="B313" r:id="rId311" xr:uid="{00000000-0004-0000-0300-000036010000}"/>
    <hyperlink ref="B314" r:id="rId312" xr:uid="{00000000-0004-0000-0300-000037010000}"/>
    <hyperlink ref="B315" r:id="rId313" xr:uid="{00000000-0004-0000-0300-000038010000}"/>
    <hyperlink ref="B316" r:id="rId314" xr:uid="{00000000-0004-0000-0300-000039010000}"/>
    <hyperlink ref="B317" r:id="rId315" xr:uid="{00000000-0004-0000-0300-00003A010000}"/>
    <hyperlink ref="B318" r:id="rId316" xr:uid="{00000000-0004-0000-0300-00003B010000}"/>
    <hyperlink ref="B319" r:id="rId317" xr:uid="{00000000-0004-0000-0300-00003C010000}"/>
    <hyperlink ref="B320" r:id="rId318" xr:uid="{00000000-0004-0000-0300-00003D010000}"/>
    <hyperlink ref="B321" r:id="rId319" xr:uid="{00000000-0004-0000-0300-00003E010000}"/>
    <hyperlink ref="D321" r:id="rId320" xr:uid="{00000000-0004-0000-0300-00003F010000}"/>
    <hyperlink ref="B322" r:id="rId321" xr:uid="{00000000-0004-0000-0300-000040010000}"/>
    <hyperlink ref="D322" r:id="rId322" xr:uid="{00000000-0004-0000-0300-000041010000}"/>
    <hyperlink ref="B323" r:id="rId323" xr:uid="{00000000-0004-0000-0300-000042010000}"/>
    <hyperlink ref="D323" r:id="rId324" xr:uid="{00000000-0004-0000-0300-000043010000}"/>
    <hyperlink ref="B324" r:id="rId325" xr:uid="{00000000-0004-0000-0300-000044010000}"/>
    <hyperlink ref="B325" r:id="rId326" xr:uid="{00000000-0004-0000-0300-000045010000}"/>
    <hyperlink ref="D325" r:id="rId327" xr:uid="{00000000-0004-0000-0300-000046010000}"/>
    <hyperlink ref="B326" r:id="rId328" xr:uid="{00000000-0004-0000-0300-000047010000}"/>
    <hyperlink ref="B327" r:id="rId329" xr:uid="{00000000-0004-0000-0300-000048010000}"/>
    <hyperlink ref="F327" r:id="rId330" xr:uid="{00000000-0004-0000-0300-000049010000}"/>
    <hyperlink ref="B328" r:id="rId331" xr:uid="{00000000-0004-0000-0300-00004A010000}"/>
    <hyperlink ref="B329" r:id="rId332" xr:uid="{00000000-0004-0000-0300-00004B010000}"/>
    <hyperlink ref="B330" r:id="rId333" xr:uid="{00000000-0004-0000-0300-00004C010000}"/>
    <hyperlink ref="B331" location="Videos!B331" display="Women take the lead" xr:uid="{00000000-0004-0000-0300-00004D010000}"/>
    <hyperlink ref="B332" r:id="rId334" xr:uid="{00000000-0004-0000-0300-00004E010000}"/>
    <hyperlink ref="B333" r:id="rId335" xr:uid="{00000000-0004-0000-0300-00004F010000}"/>
    <hyperlink ref="B334" r:id="rId336" xr:uid="{00000000-0004-0000-0300-000050010000}"/>
    <hyperlink ref="B335" r:id="rId337" xr:uid="{00000000-0004-0000-0300-000051010000}"/>
    <hyperlink ref="B336" r:id="rId338" xr:uid="{00000000-0004-0000-0300-000052010000}"/>
    <hyperlink ref="B337" r:id="rId339" xr:uid="{00000000-0004-0000-0300-000053010000}"/>
    <hyperlink ref="B338" r:id="rId340" xr:uid="{00000000-0004-0000-0300-000054010000}"/>
    <hyperlink ref="B339" r:id="rId341" xr:uid="{00000000-0004-0000-0300-000055010000}"/>
    <hyperlink ref="B340" r:id="rId342" xr:uid="{00000000-0004-0000-0300-000056010000}"/>
    <hyperlink ref="B341" r:id="rId343" xr:uid="{00000000-0004-0000-0300-000057010000}"/>
    <hyperlink ref="B342" r:id="rId344" xr:uid="{00000000-0004-0000-0300-000058010000}"/>
    <hyperlink ref="B343" r:id="rId345" xr:uid="{00000000-0004-0000-0300-000059010000}"/>
    <hyperlink ref="B344" r:id="rId346" xr:uid="{00000000-0004-0000-0300-00005A010000}"/>
    <hyperlink ref="B345" r:id="rId347" xr:uid="{00000000-0004-0000-0300-00005B010000}"/>
    <hyperlink ref="B346" r:id="rId348" xr:uid="{00000000-0004-0000-0300-00005C010000}"/>
    <hyperlink ref="B347" r:id="rId349" xr:uid="{00000000-0004-0000-0300-00005D010000}"/>
    <hyperlink ref="B348" r:id="rId350" xr:uid="{00000000-0004-0000-0300-00005E010000}"/>
    <hyperlink ref="B349" r:id="rId351" xr:uid="{00000000-0004-0000-0300-00005F010000}"/>
    <hyperlink ref="B350" r:id="rId352" xr:uid="{00000000-0004-0000-0300-000060010000}"/>
    <hyperlink ref="B351" r:id="rId353" xr:uid="{00000000-0004-0000-0300-000061010000}"/>
    <hyperlink ref="B352" r:id="rId354" xr:uid="{00000000-0004-0000-0300-000062010000}"/>
    <hyperlink ref="B353" r:id="rId355" xr:uid="{00000000-0004-0000-0300-000063010000}"/>
    <hyperlink ref="B354" r:id="rId356" xr:uid="{00000000-0004-0000-0300-000064010000}"/>
    <hyperlink ref="B355" r:id="rId357" xr:uid="{00000000-0004-0000-0300-000065010000}"/>
    <hyperlink ref="B356" r:id="rId358" xr:uid="{00000000-0004-0000-0300-000066010000}"/>
    <hyperlink ref="B357" r:id="rId359" xr:uid="{00000000-0004-0000-0300-000067010000}"/>
    <hyperlink ref="B358" r:id="rId360" xr:uid="{00000000-0004-0000-0300-000068010000}"/>
    <hyperlink ref="B359" r:id="rId361" xr:uid="{00000000-0004-0000-0300-000069010000}"/>
    <hyperlink ref="B360" r:id="rId362" xr:uid="{00000000-0004-0000-0300-00006A010000}"/>
    <hyperlink ref="B361" r:id="rId363" xr:uid="{00000000-0004-0000-0300-00006B010000}"/>
    <hyperlink ref="B362" r:id="rId364" xr:uid="{00000000-0004-0000-0300-00006C010000}"/>
    <hyperlink ref="B363" r:id="rId365" xr:uid="{00000000-0004-0000-0300-00006D010000}"/>
    <hyperlink ref="B364" r:id="rId366" xr:uid="{00000000-0004-0000-0300-00006E010000}"/>
    <hyperlink ref="B365" r:id="rId367" xr:uid="{00000000-0004-0000-0300-00006F010000}"/>
    <hyperlink ref="B366" r:id="rId368" xr:uid="{00000000-0004-0000-0300-000070010000}"/>
    <hyperlink ref="F366" r:id="rId369" xr:uid="{00000000-0004-0000-0300-000071010000}"/>
    <hyperlink ref="B367" r:id="rId370" xr:uid="{00000000-0004-0000-0300-000072010000}"/>
    <hyperlink ref="B368" r:id="rId371" xr:uid="{00000000-0004-0000-0300-000073010000}"/>
    <hyperlink ref="B369" r:id="rId372" xr:uid="{00000000-0004-0000-0300-000074010000}"/>
    <hyperlink ref="B370" r:id="rId373" xr:uid="{00000000-0004-0000-0300-000075010000}"/>
    <hyperlink ref="B371" r:id="rId374" xr:uid="{00000000-0004-0000-0300-000076010000}"/>
    <hyperlink ref="B373" r:id="rId375" xr:uid="{00000000-0004-0000-0300-000077010000}"/>
    <hyperlink ref="B374" r:id="rId376" xr:uid="{00000000-0004-0000-0300-000078010000}"/>
    <hyperlink ref="B375" r:id="rId377" xr:uid="{00000000-0004-0000-0300-000079010000}"/>
    <hyperlink ref="B376" r:id="rId378" xr:uid="{00000000-0004-0000-0300-00007A010000}"/>
    <hyperlink ref="B377" r:id="rId379" xr:uid="{00000000-0004-0000-0300-00007B010000}"/>
    <hyperlink ref="B378" r:id="rId380" xr:uid="{00000000-0004-0000-0300-00007C010000}"/>
    <hyperlink ref="B379" r:id="rId381" xr:uid="{00000000-0004-0000-0300-00007D010000}"/>
    <hyperlink ref="B380" r:id="rId382" xr:uid="{00000000-0004-0000-0300-00007E010000}"/>
    <hyperlink ref="B381" r:id="rId383" xr:uid="{00000000-0004-0000-0300-00007F010000}"/>
    <hyperlink ref="B382" r:id="rId384" xr:uid="{00000000-0004-0000-0300-000080010000}"/>
    <hyperlink ref="B383" r:id="rId385" xr:uid="{00000000-0004-0000-0300-000081010000}"/>
    <hyperlink ref="B384" r:id="rId386" xr:uid="{00000000-0004-0000-0300-000082010000}"/>
    <hyperlink ref="B385" r:id="rId387" xr:uid="{EDB76F8A-AB2B-4F49-8E36-5AE33094F12A}"/>
  </hyperlinks>
  <pageMargins left="0.7" right="0.7" top="0.75" bottom="0.75" header="0" footer="0"/>
  <pageSetup paperSize="9" orientation="portrait"/>
  <legacyDrawing r:id="rId38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3"/>
  <sheetViews>
    <sheetView workbookViewId="0">
      <pane ySplit="1" topLeftCell="A37" activePane="bottomLeft" state="frozen"/>
      <selection pane="bottomLeft" activeCell="B43" sqref="B43"/>
    </sheetView>
  </sheetViews>
  <sheetFormatPr defaultColWidth="14.44140625" defaultRowHeight="14.4"/>
  <cols>
    <col min="1" max="1" width="8.6640625" style="18" customWidth="1"/>
    <col min="2" max="2" width="54.44140625" style="18" customWidth="1"/>
    <col min="3" max="3" width="16" style="18" customWidth="1"/>
    <col min="4" max="4" width="90.44140625" style="18" customWidth="1"/>
    <col min="5" max="24" width="8.6640625" style="18" customWidth="1"/>
    <col min="25" max="16384" width="14.44140625" style="18"/>
  </cols>
  <sheetData>
    <row r="1" spans="1:24" s="493" customFormat="1">
      <c r="A1" s="498" t="s">
        <v>1476</v>
      </c>
      <c r="B1" s="498" t="s">
        <v>3449</v>
      </c>
      <c r="C1" s="498" t="s">
        <v>2</v>
      </c>
      <c r="D1" s="498" t="s">
        <v>3</v>
      </c>
    </row>
    <row r="2" spans="1:24" s="37" customFormat="1" ht="57.6">
      <c r="A2" s="88">
        <v>1</v>
      </c>
      <c r="B2" s="277" t="s">
        <v>3450</v>
      </c>
      <c r="C2" s="405">
        <v>44417</v>
      </c>
      <c r="D2" s="88" t="s">
        <v>3451</v>
      </c>
      <c r="E2" s="144"/>
      <c r="F2" s="144"/>
      <c r="G2" s="144"/>
      <c r="H2" s="144"/>
      <c r="I2" s="144"/>
      <c r="J2" s="144"/>
      <c r="K2" s="144"/>
      <c r="L2" s="144"/>
      <c r="M2" s="144"/>
      <c r="N2" s="144"/>
      <c r="O2" s="144"/>
      <c r="P2" s="144"/>
      <c r="Q2" s="144"/>
      <c r="R2" s="144"/>
      <c r="S2" s="144"/>
      <c r="T2" s="144"/>
      <c r="U2" s="144"/>
      <c r="V2" s="144"/>
      <c r="W2" s="144"/>
      <c r="X2" s="144"/>
    </row>
    <row r="3" spans="1:24" s="37" customFormat="1" ht="86.4">
      <c r="A3" s="88">
        <v>2</v>
      </c>
      <c r="B3" s="277" t="s">
        <v>3452</v>
      </c>
      <c r="C3" s="405">
        <v>44442</v>
      </c>
      <c r="D3" s="406" t="s">
        <v>3453</v>
      </c>
      <c r="E3" s="145"/>
      <c r="F3" s="145"/>
      <c r="G3" s="145"/>
      <c r="H3" s="145"/>
      <c r="I3" s="145"/>
      <c r="J3" s="145"/>
      <c r="K3" s="145"/>
      <c r="L3" s="145"/>
      <c r="M3" s="145"/>
      <c r="N3" s="145"/>
      <c r="O3" s="145"/>
      <c r="P3" s="145"/>
      <c r="Q3" s="145"/>
      <c r="R3" s="145"/>
      <c r="S3" s="145"/>
      <c r="T3" s="145"/>
      <c r="U3" s="145"/>
      <c r="V3" s="145"/>
      <c r="W3" s="145"/>
      <c r="X3" s="145"/>
    </row>
    <row r="4" spans="1:24" s="171" customFormat="1" ht="86.4">
      <c r="A4" s="88">
        <v>3</v>
      </c>
      <c r="B4" s="89" t="s">
        <v>3454</v>
      </c>
      <c r="C4" s="405">
        <v>44596</v>
      </c>
      <c r="D4" s="88" t="s">
        <v>3455</v>
      </c>
    </row>
    <row r="5" spans="1:24" s="37" customFormat="1" ht="86.4">
      <c r="A5" s="88">
        <v>4</v>
      </c>
      <c r="B5" s="89" t="s">
        <v>3456</v>
      </c>
      <c r="C5" s="405">
        <v>44596</v>
      </c>
      <c r="D5" s="88" t="s">
        <v>3457</v>
      </c>
      <c r="E5" s="144"/>
      <c r="F5" s="144"/>
      <c r="G5" s="144"/>
      <c r="H5" s="144"/>
      <c r="I5" s="144"/>
      <c r="J5" s="144"/>
      <c r="K5" s="144"/>
      <c r="L5" s="144"/>
      <c r="M5" s="144"/>
      <c r="N5" s="144"/>
      <c r="O5" s="144"/>
      <c r="P5" s="144"/>
      <c r="Q5" s="144"/>
      <c r="R5" s="144"/>
      <c r="S5" s="144"/>
      <c r="T5" s="144"/>
      <c r="U5" s="144"/>
      <c r="V5" s="144"/>
      <c r="W5" s="144"/>
      <c r="X5" s="144"/>
    </row>
    <row r="6" spans="1:24" s="171" customFormat="1" ht="129.6">
      <c r="A6" s="88">
        <v>5</v>
      </c>
      <c r="B6" s="89" t="s">
        <v>3458</v>
      </c>
      <c r="C6" s="405">
        <v>44599</v>
      </c>
      <c r="D6" s="88" t="s">
        <v>3459</v>
      </c>
    </row>
    <row r="7" spans="1:24" s="37" customFormat="1" ht="57.6">
      <c r="A7" s="88">
        <v>6</v>
      </c>
      <c r="B7" s="89" t="s">
        <v>3460</v>
      </c>
      <c r="C7" s="405">
        <v>44679</v>
      </c>
      <c r="D7" s="88" t="s">
        <v>3461</v>
      </c>
      <c r="E7" s="144"/>
      <c r="F7" s="144"/>
      <c r="G7" s="144"/>
      <c r="H7" s="144"/>
      <c r="I7" s="144"/>
      <c r="J7" s="144"/>
      <c r="K7" s="144"/>
      <c r="L7" s="144"/>
      <c r="M7" s="144"/>
      <c r="N7" s="144"/>
      <c r="O7" s="144"/>
      <c r="P7" s="144"/>
      <c r="Q7" s="144"/>
      <c r="R7" s="144"/>
      <c r="S7" s="144"/>
      <c r="T7" s="144"/>
      <c r="U7" s="144"/>
      <c r="V7" s="144"/>
      <c r="W7" s="144"/>
      <c r="X7" s="144"/>
    </row>
    <row r="8" spans="1:24" s="37" customFormat="1" ht="72">
      <c r="A8" s="88">
        <v>7</v>
      </c>
      <c r="B8" s="89" t="s">
        <v>3462</v>
      </c>
      <c r="C8" s="405">
        <v>44697</v>
      </c>
      <c r="D8" s="88" t="s">
        <v>3463</v>
      </c>
      <c r="E8" s="144"/>
      <c r="F8" s="144"/>
      <c r="G8" s="144"/>
      <c r="H8" s="144"/>
      <c r="I8" s="144"/>
      <c r="J8" s="144"/>
      <c r="K8" s="144"/>
      <c r="L8" s="144"/>
      <c r="M8" s="144"/>
      <c r="N8" s="144"/>
      <c r="O8" s="144"/>
      <c r="P8" s="144"/>
      <c r="Q8" s="144"/>
      <c r="R8" s="144"/>
      <c r="S8" s="144"/>
      <c r="T8" s="144"/>
      <c r="U8" s="144"/>
      <c r="V8" s="144"/>
      <c r="W8" s="144"/>
      <c r="X8" s="144"/>
    </row>
    <row r="9" spans="1:24" s="37" customFormat="1" ht="57.6">
      <c r="A9" s="88">
        <v>8</v>
      </c>
      <c r="B9" s="89" t="s">
        <v>3464</v>
      </c>
      <c r="C9" s="405">
        <v>44698</v>
      </c>
      <c r="D9" s="88" t="s">
        <v>3465</v>
      </c>
      <c r="E9" s="144"/>
      <c r="F9" s="144"/>
      <c r="G9" s="144"/>
      <c r="H9" s="144"/>
      <c r="I9" s="144"/>
      <c r="J9" s="144"/>
      <c r="K9" s="144"/>
      <c r="L9" s="144"/>
      <c r="M9" s="144"/>
      <c r="N9" s="144"/>
      <c r="O9" s="144"/>
      <c r="P9" s="144"/>
      <c r="Q9" s="144"/>
      <c r="R9" s="144"/>
      <c r="S9" s="144"/>
      <c r="T9" s="144"/>
      <c r="U9" s="144"/>
      <c r="V9" s="144"/>
      <c r="W9" s="144"/>
      <c r="X9" s="144"/>
    </row>
    <row r="10" spans="1:24" s="37" customFormat="1" ht="57.6">
      <c r="A10" s="407">
        <v>9</v>
      </c>
      <c r="B10" s="278" t="s">
        <v>3466</v>
      </c>
      <c r="C10" s="408">
        <v>44699</v>
      </c>
      <c r="D10" s="88" t="s">
        <v>3467</v>
      </c>
      <c r="E10" s="144"/>
      <c r="F10" s="144"/>
      <c r="G10" s="144"/>
      <c r="H10" s="144"/>
      <c r="I10" s="144"/>
      <c r="J10" s="144"/>
      <c r="K10" s="144"/>
      <c r="L10" s="144"/>
      <c r="M10" s="144"/>
      <c r="N10" s="144"/>
      <c r="O10" s="144"/>
      <c r="P10" s="144"/>
      <c r="Q10" s="144"/>
      <c r="R10" s="144"/>
      <c r="S10" s="144"/>
      <c r="T10" s="144"/>
      <c r="U10" s="144"/>
      <c r="V10" s="144"/>
      <c r="W10" s="144"/>
      <c r="X10" s="144"/>
    </row>
    <row r="11" spans="1:24" s="38" customFormat="1" ht="72">
      <c r="A11" s="88">
        <v>10</v>
      </c>
      <c r="B11" s="89" t="s">
        <v>3468</v>
      </c>
      <c r="C11" s="405">
        <v>44714</v>
      </c>
      <c r="D11" s="88" t="s">
        <v>3469</v>
      </c>
    </row>
    <row r="12" spans="1:24" s="38" customFormat="1" ht="57.6">
      <c r="A12" s="88">
        <v>11</v>
      </c>
      <c r="B12" s="89" t="s">
        <v>3470</v>
      </c>
      <c r="C12" s="405">
        <v>44719</v>
      </c>
      <c r="D12" s="88" t="s">
        <v>3471</v>
      </c>
    </row>
    <row r="13" spans="1:24" s="37" customFormat="1" ht="86.4">
      <c r="A13" s="88">
        <v>12</v>
      </c>
      <c r="B13" s="89" t="s">
        <v>3472</v>
      </c>
      <c r="C13" s="405">
        <v>44722</v>
      </c>
      <c r="D13" s="88" t="s">
        <v>3473</v>
      </c>
      <c r="E13" s="144"/>
      <c r="F13" s="144"/>
      <c r="G13" s="144"/>
      <c r="H13" s="144"/>
      <c r="I13" s="144"/>
      <c r="J13" s="144"/>
      <c r="K13" s="144"/>
      <c r="L13" s="144"/>
      <c r="M13" s="144"/>
      <c r="N13" s="144"/>
      <c r="O13" s="144"/>
      <c r="P13" s="144"/>
      <c r="Q13" s="144"/>
      <c r="R13" s="144"/>
      <c r="S13" s="144"/>
      <c r="T13" s="144"/>
      <c r="U13" s="144"/>
      <c r="V13" s="144"/>
      <c r="W13" s="144"/>
      <c r="X13" s="144"/>
    </row>
    <row r="14" spans="1:24" s="37" customFormat="1" ht="86.4">
      <c r="A14" s="88">
        <v>13</v>
      </c>
      <c r="B14" s="89" t="s">
        <v>3474</v>
      </c>
      <c r="C14" s="405">
        <v>44724</v>
      </c>
      <c r="D14" s="88" t="s">
        <v>3475</v>
      </c>
      <c r="E14" s="144"/>
      <c r="F14" s="144"/>
      <c r="G14" s="144"/>
      <c r="H14" s="144"/>
      <c r="I14" s="144"/>
      <c r="J14" s="144"/>
      <c r="K14" s="144"/>
      <c r="L14" s="144"/>
      <c r="M14" s="144"/>
      <c r="N14" s="144"/>
      <c r="O14" s="144"/>
      <c r="P14" s="144"/>
      <c r="Q14" s="144"/>
      <c r="R14" s="144"/>
      <c r="S14" s="144"/>
      <c r="T14" s="144"/>
      <c r="U14" s="144"/>
      <c r="V14" s="144"/>
      <c r="W14" s="144"/>
      <c r="X14" s="144"/>
    </row>
    <row r="15" spans="1:24" s="37" customFormat="1" ht="57.6">
      <c r="A15" s="88">
        <v>14</v>
      </c>
      <c r="B15" s="89" t="s">
        <v>3476</v>
      </c>
      <c r="C15" s="405">
        <v>44736</v>
      </c>
      <c r="D15" s="88" t="s">
        <v>3477</v>
      </c>
      <c r="E15" s="144"/>
      <c r="F15" s="144"/>
      <c r="G15" s="144"/>
      <c r="H15" s="144"/>
      <c r="I15" s="144"/>
      <c r="J15" s="144"/>
      <c r="K15" s="144"/>
      <c r="L15" s="144"/>
      <c r="M15" s="144"/>
      <c r="N15" s="144"/>
      <c r="O15" s="144"/>
      <c r="P15" s="144"/>
      <c r="Q15" s="144"/>
      <c r="R15" s="144"/>
      <c r="S15" s="144"/>
      <c r="T15" s="144"/>
      <c r="U15" s="144"/>
      <c r="V15" s="144"/>
      <c r="W15" s="144"/>
      <c r="X15" s="144"/>
    </row>
    <row r="16" spans="1:24" s="37" customFormat="1" ht="57.6">
      <c r="A16" s="88">
        <v>15</v>
      </c>
      <c r="B16" s="89" t="s">
        <v>3478</v>
      </c>
      <c r="C16" s="405">
        <v>44777</v>
      </c>
      <c r="D16" s="88" t="s">
        <v>3479</v>
      </c>
      <c r="E16" s="144"/>
      <c r="F16" s="144"/>
      <c r="G16" s="144"/>
      <c r="H16" s="144"/>
      <c r="I16" s="144"/>
      <c r="J16" s="144"/>
      <c r="K16" s="144"/>
      <c r="L16" s="144"/>
      <c r="M16" s="144"/>
      <c r="N16" s="144"/>
      <c r="O16" s="144"/>
      <c r="P16" s="144"/>
      <c r="Q16" s="144"/>
      <c r="R16" s="144"/>
      <c r="S16" s="144"/>
      <c r="T16" s="144"/>
      <c r="U16" s="144"/>
      <c r="V16" s="144"/>
      <c r="W16" s="144"/>
      <c r="X16" s="144"/>
    </row>
    <row r="17" spans="1:4" s="37" customFormat="1" ht="72">
      <c r="A17" s="88">
        <v>16</v>
      </c>
      <c r="B17" s="89" t="s">
        <v>3480</v>
      </c>
      <c r="C17" s="405">
        <v>44790</v>
      </c>
      <c r="D17" s="88" t="s">
        <v>3481</v>
      </c>
    </row>
    <row r="18" spans="1:4" s="37" customFormat="1" ht="43.2">
      <c r="A18" s="88">
        <v>17</v>
      </c>
      <c r="B18" s="89" t="s">
        <v>3482</v>
      </c>
      <c r="C18" s="405">
        <v>44798</v>
      </c>
      <c r="D18" s="88" t="s">
        <v>3483</v>
      </c>
    </row>
    <row r="19" spans="1:4" s="37" customFormat="1" ht="43.2">
      <c r="A19" s="88">
        <v>18</v>
      </c>
      <c r="B19" s="89" t="s">
        <v>3484</v>
      </c>
      <c r="C19" s="405">
        <v>44866</v>
      </c>
      <c r="D19" s="88" t="s">
        <v>3485</v>
      </c>
    </row>
    <row r="20" spans="1:4" s="37" customFormat="1" ht="28.8">
      <c r="A20" s="88">
        <v>19</v>
      </c>
      <c r="B20" s="89" t="s">
        <v>3486</v>
      </c>
      <c r="C20" s="405">
        <v>44886</v>
      </c>
      <c r="D20" s="88" t="s">
        <v>3487</v>
      </c>
    </row>
    <row r="21" spans="1:4" s="37" customFormat="1" ht="57.6">
      <c r="A21" s="88">
        <v>20</v>
      </c>
      <c r="B21" s="89" t="s">
        <v>3488</v>
      </c>
      <c r="C21" s="405">
        <v>44992</v>
      </c>
      <c r="D21" s="88" t="s">
        <v>3489</v>
      </c>
    </row>
    <row r="22" spans="1:4" s="37" customFormat="1" ht="43.2">
      <c r="A22" s="88">
        <v>21</v>
      </c>
      <c r="B22" s="89" t="s">
        <v>3490</v>
      </c>
      <c r="C22" s="405">
        <v>45113</v>
      </c>
      <c r="D22" s="88" t="s">
        <v>3491</v>
      </c>
    </row>
    <row r="23" spans="1:4" s="37" customFormat="1" ht="57.6">
      <c r="A23" s="88">
        <v>22</v>
      </c>
      <c r="B23" s="89" t="s">
        <v>3492</v>
      </c>
      <c r="C23" s="405">
        <v>45142</v>
      </c>
      <c r="D23" s="88" t="s">
        <v>3493</v>
      </c>
    </row>
    <row r="24" spans="1:4" s="37" customFormat="1" ht="57.6">
      <c r="A24" s="88">
        <v>23</v>
      </c>
      <c r="B24" s="89" t="s">
        <v>3494</v>
      </c>
      <c r="C24" s="405">
        <v>45239</v>
      </c>
      <c r="D24" s="88" t="s">
        <v>3495</v>
      </c>
    </row>
    <row r="25" spans="1:4" s="37" customFormat="1" ht="72">
      <c r="A25" s="88">
        <v>24</v>
      </c>
      <c r="B25" s="273" t="s">
        <v>3496</v>
      </c>
      <c r="C25" s="405">
        <v>45239</v>
      </c>
      <c r="D25" s="88" t="s">
        <v>3497</v>
      </c>
    </row>
    <row r="26" spans="1:4" s="37" customFormat="1" ht="43.2">
      <c r="A26" s="88">
        <v>25</v>
      </c>
      <c r="B26" s="89" t="s">
        <v>3498</v>
      </c>
      <c r="C26" s="405">
        <v>45259</v>
      </c>
      <c r="D26" s="88" t="s">
        <v>3499</v>
      </c>
    </row>
    <row r="27" spans="1:4" s="37" customFormat="1" ht="28.8">
      <c r="A27" s="88">
        <v>26</v>
      </c>
      <c r="B27" s="89" t="s">
        <v>3500</v>
      </c>
      <c r="C27" s="405">
        <v>45363</v>
      </c>
      <c r="D27" s="88" t="s">
        <v>3501</v>
      </c>
    </row>
    <row r="28" spans="1:4" s="37" customFormat="1" ht="28.8">
      <c r="A28" s="88">
        <v>27</v>
      </c>
      <c r="B28" s="89" t="s">
        <v>3502</v>
      </c>
      <c r="C28" s="405">
        <v>45371</v>
      </c>
      <c r="D28" s="88" t="s">
        <v>3503</v>
      </c>
    </row>
    <row r="29" spans="1:4" s="37" customFormat="1" ht="57.6">
      <c r="A29" s="88">
        <v>28</v>
      </c>
      <c r="B29" s="89" t="s">
        <v>3504</v>
      </c>
      <c r="C29" s="405">
        <v>45435</v>
      </c>
      <c r="D29" s="88" t="s">
        <v>3505</v>
      </c>
    </row>
    <row r="30" spans="1:4" s="37" customFormat="1" ht="28.8">
      <c r="A30" s="88">
        <v>29</v>
      </c>
      <c r="B30" s="89" t="s">
        <v>3506</v>
      </c>
      <c r="C30" s="405">
        <v>45467</v>
      </c>
      <c r="D30" s="88" t="s">
        <v>3507</v>
      </c>
    </row>
    <row r="31" spans="1:4" s="37" customFormat="1" ht="28.8">
      <c r="A31" s="88">
        <v>30</v>
      </c>
      <c r="B31" s="89" t="s">
        <v>3508</v>
      </c>
      <c r="C31" s="405">
        <v>45526</v>
      </c>
      <c r="D31" s="88" t="s">
        <v>3508</v>
      </c>
    </row>
    <row r="32" spans="1:4" s="37" customFormat="1" ht="28.8">
      <c r="A32" s="88">
        <v>31</v>
      </c>
      <c r="B32" s="89" t="s">
        <v>3509</v>
      </c>
      <c r="C32" s="405">
        <v>45526</v>
      </c>
      <c r="D32" s="88" t="s">
        <v>3509</v>
      </c>
    </row>
    <row r="33" spans="1:4" s="37" customFormat="1" ht="28.8">
      <c r="A33" s="88">
        <v>32</v>
      </c>
      <c r="B33" s="89" t="s">
        <v>3510</v>
      </c>
      <c r="C33" s="405">
        <v>45531</v>
      </c>
      <c r="D33" s="88" t="s">
        <v>3510</v>
      </c>
    </row>
    <row r="34" spans="1:4" s="37" customFormat="1" ht="72">
      <c r="A34" s="88">
        <v>33</v>
      </c>
      <c r="B34" s="89" t="s">
        <v>3511</v>
      </c>
      <c r="C34" s="405">
        <v>45573</v>
      </c>
      <c r="D34" s="88" t="s">
        <v>3512</v>
      </c>
    </row>
    <row r="35" spans="1:4" s="37" customFormat="1" ht="72">
      <c r="A35" s="88">
        <v>35</v>
      </c>
      <c r="B35" s="89" t="s">
        <v>3513</v>
      </c>
      <c r="C35" s="405">
        <v>45686</v>
      </c>
      <c r="D35" s="88" t="s">
        <v>3514</v>
      </c>
    </row>
    <row r="36" spans="1:4" s="37" customFormat="1" ht="28.8">
      <c r="A36" s="88">
        <v>36</v>
      </c>
      <c r="B36" s="89" t="s">
        <v>3515</v>
      </c>
      <c r="C36" s="405">
        <v>45742</v>
      </c>
      <c r="D36" s="88" t="s">
        <v>3516</v>
      </c>
    </row>
    <row r="37" spans="1:4" s="37" customFormat="1" ht="43.2">
      <c r="A37" s="88">
        <v>37</v>
      </c>
      <c r="B37" s="89" t="s">
        <v>3517</v>
      </c>
      <c r="C37" s="405">
        <v>45797</v>
      </c>
      <c r="D37" s="88" t="s">
        <v>3518</v>
      </c>
    </row>
    <row r="38" spans="1:4" s="37" customFormat="1" ht="43.2">
      <c r="A38" s="88">
        <v>38</v>
      </c>
      <c r="B38" s="89" t="s">
        <v>3519</v>
      </c>
      <c r="C38" s="405">
        <v>45828</v>
      </c>
      <c r="D38" s="88" t="s">
        <v>3520</v>
      </c>
    </row>
    <row r="39" spans="1:4" ht="57.6">
      <c r="A39" s="88">
        <v>39</v>
      </c>
      <c r="B39" s="83" t="s">
        <v>3521</v>
      </c>
      <c r="C39" s="409">
        <f>DATE(2025,9,19)</f>
        <v>45919</v>
      </c>
      <c r="D39" s="320" t="s">
        <v>3522</v>
      </c>
    </row>
    <row r="40" spans="1:4" ht="72.599999999999994">
      <c r="A40" s="88">
        <v>40</v>
      </c>
      <c r="B40" s="83" t="s">
        <v>3523</v>
      </c>
      <c r="C40" s="409">
        <f>DATE(2025,10,16)</f>
        <v>45946</v>
      </c>
      <c r="D40" s="346" t="s">
        <v>3524</v>
      </c>
    </row>
    <row r="41" spans="1:4" s="99" customFormat="1" ht="0.6" customHeight="1">
      <c r="A41" s="88">
        <v>40</v>
      </c>
      <c r="B41" s="83" t="s">
        <v>3525</v>
      </c>
      <c r="C41" s="410">
        <v>46087</v>
      </c>
      <c r="D41" s="346" t="s">
        <v>3526</v>
      </c>
    </row>
    <row r="42" spans="1:4" ht="58.2">
      <c r="A42" s="88">
        <v>41</v>
      </c>
      <c r="B42" s="83" t="s">
        <v>4931</v>
      </c>
      <c r="C42" s="409">
        <f>DATE(2026,3,6)</f>
        <v>46087</v>
      </c>
      <c r="D42" s="346" t="s">
        <v>3526</v>
      </c>
    </row>
    <row r="43" spans="1:4" ht="58.2">
      <c r="A43" s="88">
        <v>42</v>
      </c>
      <c r="B43" s="566" t="s">
        <v>4955</v>
      </c>
      <c r="C43" s="565">
        <f>DATE(2026,5,27)</f>
        <v>46169</v>
      </c>
      <c r="D43" s="564" t="s">
        <v>4956</v>
      </c>
    </row>
  </sheetData>
  <autoFilter ref="A1:X42" xr:uid="{00000000-0001-0000-0400-000000000000}"/>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00000000-0004-0000-0400-00001F000000}"/>
    <hyperlink ref="B35" r:id="rId33" xr:uid="{00000000-0004-0000-0400-000021000000}"/>
    <hyperlink ref="B36" r:id="rId34" xr:uid="{00000000-0004-0000-0400-000022000000}"/>
    <hyperlink ref="B37" r:id="rId35" xr:uid="{00000000-0004-0000-0400-000023000000}"/>
    <hyperlink ref="B38" r:id="rId36" xr:uid="{00000000-0004-0000-0400-000024000000}"/>
    <hyperlink ref="B39" r:id="rId37" xr:uid="{BBCC0346-1172-4328-B3B1-CAAAEBA04E9E}"/>
    <hyperlink ref="B40" r:id="rId38" xr:uid="{E2C33309-0B9B-46E8-B6A3-CF38F8C2B7F9}"/>
    <hyperlink ref="B41" r:id="rId39" display="https://www.microsave.net/2026/03/06/empowering-africas-blue-economy-fish-production-and-sustainable-fisheries-in-africa/" xr:uid="{64F6DAC9-45C8-4311-87F7-68BEDE7B796E}"/>
    <hyperlink ref="B42" r:id="rId40" xr:uid="{5B226009-ACDE-4895-A601-9B82A8E498AB}"/>
    <hyperlink ref="B43" r:id="rId41" xr:uid="{98BCA3D8-1E88-4A4C-8150-503B9F9E2597}"/>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49" activePane="bottomLeft" state="frozen"/>
      <selection pane="bottomLeft" sqref="A1:XFD1"/>
    </sheetView>
  </sheetViews>
  <sheetFormatPr defaultColWidth="14.44140625" defaultRowHeight="15" customHeight="1"/>
  <cols>
    <col min="1" max="1" width="9.109375" style="20" customWidth="1"/>
    <col min="2" max="2" width="64" style="20" customWidth="1"/>
    <col min="3" max="3" width="16.6640625" style="20" customWidth="1"/>
    <col min="4" max="4" width="68.33203125" style="20" customWidth="1"/>
    <col min="5" max="5" width="40.33203125" style="20" customWidth="1"/>
    <col min="6" max="6" width="20.88671875" style="20" customWidth="1"/>
    <col min="7" max="25" width="9.109375" style="20" customWidth="1"/>
    <col min="26" max="16384" width="14.44140625" style="20"/>
  </cols>
  <sheetData>
    <row r="1" spans="1:25" s="502" customFormat="1" ht="33.75" customHeight="1">
      <c r="A1" s="499" t="s">
        <v>1476</v>
      </c>
      <c r="B1" s="499" t="s">
        <v>3527</v>
      </c>
      <c r="C1" s="499" t="s">
        <v>2</v>
      </c>
      <c r="D1" s="499" t="s">
        <v>3</v>
      </c>
      <c r="E1" s="499" t="s">
        <v>4</v>
      </c>
      <c r="F1" s="473"/>
      <c r="G1" s="473"/>
      <c r="H1" s="473"/>
      <c r="I1" s="473"/>
      <c r="J1" s="473"/>
      <c r="K1" s="500"/>
      <c r="L1" s="500"/>
      <c r="M1" s="500"/>
      <c r="N1" s="500"/>
      <c r="O1" s="500"/>
      <c r="P1" s="500"/>
      <c r="Q1" s="500"/>
      <c r="R1" s="500"/>
      <c r="S1" s="501"/>
      <c r="T1" s="473"/>
      <c r="U1" s="473"/>
      <c r="V1" s="473"/>
      <c r="W1" s="473"/>
      <c r="X1" s="473"/>
      <c r="Y1" s="473"/>
    </row>
    <row r="2" spans="1:25" ht="57.6">
      <c r="A2" s="113">
        <v>1</v>
      </c>
      <c r="B2" s="2" t="s">
        <v>3528</v>
      </c>
      <c r="C2" s="348">
        <v>40549</v>
      </c>
      <c r="D2" s="113" t="s">
        <v>3529</v>
      </c>
      <c r="E2" s="113" t="s">
        <v>21</v>
      </c>
      <c r="F2" s="1"/>
      <c r="G2" s="1"/>
      <c r="H2" s="1"/>
      <c r="I2" s="1"/>
      <c r="J2" s="1"/>
      <c r="K2" s="1"/>
      <c r="L2" s="1"/>
      <c r="M2" s="1"/>
      <c r="N2" s="1"/>
      <c r="O2" s="1"/>
      <c r="P2" s="1"/>
      <c r="Q2" s="1"/>
      <c r="R2" s="1"/>
      <c r="S2" s="1"/>
      <c r="T2" s="3"/>
      <c r="U2" s="3"/>
      <c r="V2" s="3"/>
      <c r="W2" s="3"/>
      <c r="X2" s="3"/>
      <c r="Y2" s="3"/>
    </row>
    <row r="3" spans="1:25" ht="72">
      <c r="A3" s="113">
        <v>2</v>
      </c>
      <c r="B3" s="2" t="s">
        <v>3530</v>
      </c>
      <c r="C3" s="348">
        <v>40614</v>
      </c>
      <c r="D3" s="113" t="s">
        <v>3531</v>
      </c>
      <c r="E3" s="113" t="s">
        <v>21</v>
      </c>
      <c r="F3" s="1"/>
      <c r="G3" s="1"/>
      <c r="H3" s="1"/>
      <c r="I3" s="1"/>
      <c r="J3" s="1"/>
      <c r="K3" s="1"/>
      <c r="L3" s="1"/>
      <c r="M3" s="1"/>
      <c r="N3" s="1"/>
      <c r="O3" s="1"/>
      <c r="P3" s="1"/>
      <c r="Q3" s="1"/>
      <c r="R3" s="1"/>
      <c r="S3" s="1"/>
      <c r="T3" s="3"/>
      <c r="U3" s="3"/>
      <c r="V3" s="3"/>
      <c r="W3" s="3"/>
      <c r="X3" s="3"/>
      <c r="Y3" s="3"/>
    </row>
    <row r="4" spans="1:25" ht="129.6">
      <c r="A4" s="113">
        <v>3</v>
      </c>
      <c r="B4" s="2" t="s">
        <v>3532</v>
      </c>
      <c r="C4" s="348">
        <v>40633</v>
      </c>
      <c r="D4" s="113" t="s">
        <v>3533</v>
      </c>
      <c r="E4" s="113" t="s">
        <v>21</v>
      </c>
      <c r="F4" s="1"/>
      <c r="G4" s="1"/>
      <c r="H4" s="1"/>
      <c r="I4" s="1"/>
      <c r="J4" s="1"/>
      <c r="K4" s="1"/>
      <c r="L4" s="1"/>
      <c r="M4" s="1"/>
      <c r="N4" s="1"/>
      <c r="O4" s="1"/>
      <c r="P4" s="1"/>
      <c r="Q4" s="1"/>
      <c r="R4" s="1"/>
      <c r="S4" s="1"/>
      <c r="T4" s="3"/>
      <c r="U4" s="3"/>
      <c r="V4" s="3"/>
      <c r="W4" s="3"/>
      <c r="X4" s="3"/>
      <c r="Y4" s="3"/>
    </row>
    <row r="5" spans="1:25" ht="28.8">
      <c r="A5" s="113">
        <v>4</v>
      </c>
      <c r="B5" s="2" t="s">
        <v>3534</v>
      </c>
      <c r="C5" s="348">
        <v>40611</v>
      </c>
      <c r="D5" s="113" t="s">
        <v>3535</v>
      </c>
      <c r="E5" s="113" t="s">
        <v>21</v>
      </c>
      <c r="F5" s="1"/>
      <c r="G5" s="1"/>
      <c r="H5" s="1"/>
      <c r="I5" s="1"/>
      <c r="J5" s="1"/>
      <c r="K5" s="1"/>
      <c r="L5" s="1"/>
      <c r="M5" s="1"/>
      <c r="N5" s="1"/>
      <c r="O5" s="1"/>
      <c r="P5" s="1"/>
      <c r="Q5" s="1"/>
      <c r="R5" s="1"/>
      <c r="S5" s="1"/>
      <c r="T5" s="3"/>
      <c r="U5" s="3"/>
      <c r="V5" s="3"/>
      <c r="W5" s="3"/>
      <c r="X5" s="3"/>
      <c r="Y5" s="3"/>
    </row>
    <row r="6" spans="1:25" ht="43.2">
      <c r="A6" s="113">
        <v>5</v>
      </c>
      <c r="B6" s="2" t="s">
        <v>3536</v>
      </c>
      <c r="C6" s="348">
        <v>40610</v>
      </c>
      <c r="D6" s="113" t="s">
        <v>3537</v>
      </c>
      <c r="E6" s="113" t="s">
        <v>21</v>
      </c>
      <c r="F6" s="1"/>
      <c r="G6" s="1"/>
      <c r="H6" s="1"/>
      <c r="I6" s="1"/>
      <c r="J6" s="1"/>
      <c r="K6" s="1"/>
      <c r="L6" s="1"/>
      <c r="M6" s="1"/>
      <c r="N6" s="1"/>
      <c r="O6" s="1"/>
      <c r="P6" s="1"/>
      <c r="Q6" s="1"/>
      <c r="R6" s="1"/>
      <c r="S6" s="1"/>
      <c r="T6" s="3"/>
      <c r="U6" s="3"/>
      <c r="V6" s="3"/>
      <c r="W6" s="3"/>
      <c r="X6" s="3"/>
      <c r="Y6" s="3"/>
    </row>
    <row r="7" spans="1:25" ht="57.6">
      <c r="A7" s="113">
        <v>6</v>
      </c>
      <c r="B7" s="2" t="s">
        <v>3538</v>
      </c>
      <c r="C7" s="348">
        <v>40647</v>
      </c>
      <c r="D7" s="113" t="s">
        <v>3539</v>
      </c>
      <c r="E7" s="113" t="s">
        <v>21</v>
      </c>
      <c r="F7" s="1"/>
      <c r="G7" s="1"/>
      <c r="H7" s="1"/>
      <c r="I7" s="1"/>
      <c r="J7" s="1"/>
      <c r="K7" s="1"/>
      <c r="L7" s="1"/>
      <c r="M7" s="1"/>
      <c r="N7" s="1"/>
      <c r="O7" s="1"/>
      <c r="P7" s="1"/>
      <c r="Q7" s="1"/>
      <c r="R7" s="1"/>
      <c r="S7" s="1"/>
      <c r="T7" s="3"/>
      <c r="U7" s="3"/>
      <c r="V7" s="3"/>
      <c r="W7" s="3"/>
      <c r="X7" s="3"/>
      <c r="Y7" s="3"/>
    </row>
    <row r="8" spans="1:25" ht="43.2">
      <c r="A8" s="113">
        <v>7</v>
      </c>
      <c r="B8" s="2" t="s">
        <v>3540</v>
      </c>
      <c r="C8" s="348">
        <v>40697</v>
      </c>
      <c r="D8" s="113" t="s">
        <v>3541</v>
      </c>
      <c r="E8" s="113" t="s">
        <v>3542</v>
      </c>
      <c r="F8" s="1"/>
      <c r="G8" s="1"/>
      <c r="H8" s="1"/>
      <c r="I8" s="1"/>
      <c r="J8" s="1"/>
      <c r="K8" s="9"/>
      <c r="L8" s="9"/>
      <c r="M8" s="9"/>
      <c r="N8" s="9"/>
      <c r="O8" s="9"/>
      <c r="P8" s="9"/>
      <c r="Q8" s="9"/>
      <c r="R8" s="9"/>
      <c r="S8" s="9"/>
      <c r="T8" s="14"/>
      <c r="U8" s="14"/>
      <c r="V8" s="14"/>
      <c r="W8" s="14"/>
      <c r="X8" s="14"/>
      <c r="Y8" s="14"/>
    </row>
    <row r="9" spans="1:25" ht="273.60000000000002">
      <c r="A9" s="113">
        <v>8</v>
      </c>
      <c r="B9" s="2" t="s">
        <v>3543</v>
      </c>
      <c r="C9" s="348">
        <v>40882</v>
      </c>
      <c r="D9" s="113" t="s">
        <v>3544</v>
      </c>
      <c r="E9" s="113" t="s">
        <v>3545</v>
      </c>
      <c r="F9" s="1"/>
      <c r="G9" s="1"/>
      <c r="H9" s="1"/>
      <c r="I9" s="1"/>
      <c r="J9" s="1"/>
      <c r="K9" s="9"/>
      <c r="L9" s="9"/>
      <c r="M9" s="9"/>
      <c r="N9" s="9"/>
      <c r="O9" s="9"/>
      <c r="P9" s="9"/>
      <c r="Q9" s="9"/>
      <c r="R9" s="9"/>
      <c r="S9" s="9"/>
      <c r="T9" s="14"/>
      <c r="U9" s="14"/>
      <c r="V9" s="14"/>
      <c r="W9" s="14"/>
      <c r="X9" s="14"/>
      <c r="Y9" s="14"/>
    </row>
    <row r="10" spans="1:25" ht="72">
      <c r="A10" s="113">
        <v>9</v>
      </c>
      <c r="B10" s="2" t="s">
        <v>3546</v>
      </c>
      <c r="C10" s="348">
        <v>40917</v>
      </c>
      <c r="D10" s="113" t="s">
        <v>3547</v>
      </c>
      <c r="E10" s="113" t="s">
        <v>7</v>
      </c>
      <c r="F10" s="14"/>
      <c r="G10" s="14"/>
      <c r="H10" s="14"/>
      <c r="I10" s="14"/>
      <c r="J10" s="14"/>
      <c r="K10" s="9"/>
      <c r="L10" s="9"/>
      <c r="M10" s="9"/>
      <c r="N10" s="9"/>
      <c r="O10" s="9"/>
      <c r="P10" s="9"/>
      <c r="Q10" s="9"/>
      <c r="R10" s="9"/>
      <c r="S10" s="9"/>
      <c r="T10" s="14"/>
      <c r="U10" s="14"/>
      <c r="V10" s="14"/>
      <c r="W10" s="14"/>
      <c r="X10" s="14"/>
      <c r="Y10" s="14"/>
    </row>
    <row r="11" spans="1:25" ht="100.8">
      <c r="A11" s="113">
        <v>10</v>
      </c>
      <c r="B11" s="2" t="s">
        <v>3548</v>
      </c>
      <c r="C11" s="348">
        <v>41062</v>
      </c>
      <c r="D11" s="113" t="s">
        <v>3549</v>
      </c>
      <c r="E11" s="113" t="s">
        <v>3006</v>
      </c>
      <c r="F11" s="14"/>
      <c r="G11" s="14"/>
      <c r="H11" s="14"/>
      <c r="I11" s="14"/>
      <c r="J11" s="14"/>
      <c r="K11" s="9"/>
      <c r="L11" s="9"/>
      <c r="M11" s="9"/>
      <c r="N11" s="9"/>
      <c r="O11" s="9"/>
      <c r="P11" s="9"/>
      <c r="Q11" s="9"/>
      <c r="R11" s="9"/>
      <c r="S11" s="9"/>
      <c r="T11" s="14"/>
      <c r="U11" s="14"/>
      <c r="V11" s="14"/>
      <c r="W11" s="14"/>
      <c r="X11" s="14"/>
      <c r="Y11" s="14"/>
    </row>
    <row r="12" spans="1:25" ht="115.2">
      <c r="A12" s="113">
        <v>11</v>
      </c>
      <c r="B12" s="2" t="s">
        <v>3550</v>
      </c>
      <c r="C12" s="348">
        <v>41064</v>
      </c>
      <c r="D12" s="113" t="s">
        <v>3551</v>
      </c>
      <c r="E12" s="113" t="s">
        <v>3552</v>
      </c>
      <c r="F12" s="14"/>
      <c r="G12" s="14"/>
      <c r="H12" s="14"/>
      <c r="I12" s="14"/>
      <c r="J12" s="14"/>
      <c r="K12" s="9"/>
      <c r="L12" s="9"/>
      <c r="M12" s="9"/>
      <c r="N12" s="9"/>
      <c r="O12" s="9"/>
      <c r="P12" s="9"/>
      <c r="Q12" s="9"/>
      <c r="R12" s="9"/>
      <c r="S12" s="9"/>
      <c r="T12" s="14"/>
      <c r="U12" s="14"/>
      <c r="V12" s="14"/>
      <c r="W12" s="14"/>
      <c r="X12" s="14"/>
      <c r="Y12" s="14"/>
    </row>
    <row r="13" spans="1:25" ht="115.2">
      <c r="A13" s="113">
        <v>12</v>
      </c>
      <c r="B13" s="2" t="s">
        <v>3553</v>
      </c>
      <c r="C13" s="348">
        <v>41106</v>
      </c>
      <c r="D13" s="113" t="s">
        <v>3554</v>
      </c>
      <c r="E13" s="113" t="s">
        <v>2756</v>
      </c>
      <c r="F13" s="14"/>
      <c r="G13" s="14"/>
      <c r="H13" s="14"/>
      <c r="I13" s="14"/>
      <c r="J13" s="14"/>
      <c r="K13" s="9"/>
      <c r="L13" s="9"/>
      <c r="M13" s="9"/>
      <c r="N13" s="9"/>
      <c r="O13" s="9"/>
      <c r="P13" s="9"/>
      <c r="Q13" s="9"/>
      <c r="R13" s="9"/>
      <c r="S13" s="9"/>
      <c r="T13" s="14"/>
      <c r="U13" s="14"/>
      <c r="V13" s="14"/>
      <c r="W13" s="14"/>
      <c r="X13" s="14"/>
      <c r="Y13" s="14"/>
    </row>
    <row r="14" spans="1:25" ht="129.6">
      <c r="A14" s="113">
        <v>13</v>
      </c>
      <c r="B14" s="2" t="s">
        <v>3555</v>
      </c>
      <c r="C14" s="348">
        <v>41137</v>
      </c>
      <c r="D14" s="113" t="s">
        <v>3556</v>
      </c>
      <c r="E14" s="113" t="s">
        <v>2756</v>
      </c>
      <c r="F14" s="1"/>
      <c r="G14" s="1"/>
      <c r="H14" s="1"/>
      <c r="I14" s="1"/>
      <c r="J14" s="1"/>
      <c r="K14" s="9"/>
      <c r="L14" s="9"/>
      <c r="M14" s="9"/>
      <c r="N14" s="9"/>
      <c r="O14" s="9"/>
      <c r="P14" s="9"/>
      <c r="Q14" s="9"/>
      <c r="R14" s="9"/>
      <c r="S14" s="9"/>
      <c r="T14" s="14"/>
      <c r="U14" s="14"/>
      <c r="V14" s="14"/>
      <c r="W14" s="14"/>
      <c r="X14" s="14"/>
      <c r="Y14" s="14"/>
    </row>
    <row r="15" spans="1:25" ht="288">
      <c r="A15" s="113">
        <v>14</v>
      </c>
      <c r="B15" s="2" t="s">
        <v>3557</v>
      </c>
      <c r="C15" s="348">
        <v>41148</v>
      </c>
      <c r="D15" s="113" t="s">
        <v>3558</v>
      </c>
      <c r="E15" s="113" t="s">
        <v>3559</v>
      </c>
      <c r="F15" s="1"/>
      <c r="G15" s="1"/>
      <c r="H15" s="1"/>
      <c r="I15" s="1"/>
      <c r="J15" s="1"/>
      <c r="K15" s="9"/>
      <c r="L15" s="9"/>
      <c r="M15" s="9"/>
      <c r="N15" s="9"/>
      <c r="O15" s="9"/>
      <c r="P15" s="9"/>
      <c r="Q15" s="9"/>
      <c r="R15" s="9"/>
      <c r="S15" s="9"/>
      <c r="T15" s="14"/>
      <c r="U15" s="14"/>
      <c r="V15" s="14"/>
      <c r="W15" s="14"/>
      <c r="X15" s="14"/>
      <c r="Y15" s="14"/>
    </row>
    <row r="16" spans="1:25" ht="129.6">
      <c r="A16" s="113">
        <v>15</v>
      </c>
      <c r="B16" s="411" t="s">
        <v>3560</v>
      </c>
      <c r="C16" s="348">
        <v>41526</v>
      </c>
      <c r="D16" s="113" t="s">
        <v>3561</v>
      </c>
      <c r="E16" s="113" t="s">
        <v>1514</v>
      </c>
      <c r="F16" s="3"/>
      <c r="G16" s="1"/>
      <c r="H16" s="3"/>
      <c r="I16" s="3"/>
      <c r="J16" s="1"/>
      <c r="K16" s="1"/>
      <c r="L16" s="1"/>
      <c r="M16" s="1"/>
      <c r="N16" s="1"/>
      <c r="O16" s="1"/>
      <c r="P16" s="1"/>
      <c r="Q16" s="1"/>
      <c r="R16" s="1"/>
      <c r="S16" s="1"/>
      <c r="T16" s="1"/>
      <c r="U16" s="1"/>
      <c r="V16" s="1"/>
      <c r="W16" s="3"/>
      <c r="X16" s="3"/>
      <c r="Y16" s="3"/>
    </row>
    <row r="17" spans="1:25" ht="259.2">
      <c r="A17" s="113">
        <v>16</v>
      </c>
      <c r="B17" s="2" t="s">
        <v>3562</v>
      </c>
      <c r="C17" s="348">
        <v>41558</v>
      </c>
      <c r="D17" s="113" t="s">
        <v>3563</v>
      </c>
      <c r="E17" s="113" t="s">
        <v>21</v>
      </c>
      <c r="F17" s="3"/>
      <c r="G17" s="1"/>
      <c r="H17" s="3"/>
      <c r="I17" s="3"/>
      <c r="J17" s="1"/>
      <c r="K17" s="1"/>
      <c r="L17" s="1"/>
      <c r="M17" s="1"/>
      <c r="N17" s="1"/>
      <c r="O17" s="1"/>
      <c r="P17" s="1"/>
      <c r="Q17" s="1"/>
      <c r="R17" s="1"/>
      <c r="S17" s="1"/>
      <c r="T17" s="1"/>
      <c r="U17" s="1"/>
      <c r="V17" s="1"/>
      <c r="W17" s="3"/>
      <c r="X17" s="3"/>
      <c r="Y17" s="3"/>
    </row>
    <row r="18" spans="1:25" ht="33.75" customHeight="1">
      <c r="A18" s="113">
        <v>17</v>
      </c>
      <c r="B18" s="2" t="s">
        <v>3564</v>
      </c>
      <c r="C18" s="412">
        <v>41561</v>
      </c>
      <c r="D18" s="113" t="s">
        <v>3565</v>
      </c>
      <c r="E18" s="113" t="s">
        <v>21</v>
      </c>
      <c r="F18" s="3"/>
      <c r="G18" s="3"/>
      <c r="H18" s="3"/>
      <c r="I18" s="3"/>
      <c r="J18" s="3"/>
      <c r="K18" s="1"/>
      <c r="L18" s="1"/>
      <c r="M18" s="1"/>
      <c r="N18" s="3"/>
      <c r="O18" s="1"/>
      <c r="P18" s="1"/>
      <c r="Q18" s="1"/>
      <c r="R18" s="1"/>
      <c r="S18" s="1"/>
      <c r="T18" s="3"/>
      <c r="U18" s="3"/>
      <c r="V18" s="3"/>
      <c r="W18" s="3"/>
      <c r="X18" s="3"/>
      <c r="Y18" s="3"/>
    </row>
    <row r="19" spans="1:25" ht="158.4">
      <c r="A19" s="113">
        <v>18</v>
      </c>
      <c r="B19" s="2" t="s">
        <v>3566</v>
      </c>
      <c r="C19" s="348">
        <v>41596</v>
      </c>
      <c r="D19" s="113" t="s">
        <v>3567</v>
      </c>
      <c r="E19" s="113" t="s">
        <v>3006</v>
      </c>
      <c r="F19" s="1"/>
      <c r="G19" s="1"/>
      <c r="H19" s="1"/>
      <c r="I19" s="1"/>
      <c r="J19" s="1"/>
      <c r="K19" s="1"/>
      <c r="L19" s="1"/>
      <c r="M19" s="1"/>
      <c r="N19" s="1"/>
      <c r="O19" s="1"/>
      <c r="P19" s="1"/>
      <c r="Q19" s="1"/>
      <c r="R19" s="1"/>
      <c r="S19" s="1"/>
      <c r="T19" s="1"/>
      <c r="U19" s="1"/>
      <c r="V19" s="1"/>
      <c r="W19" s="1"/>
      <c r="X19" s="1"/>
      <c r="Y19" s="1"/>
    </row>
    <row r="20" spans="1:25" ht="144">
      <c r="A20" s="113">
        <v>19</v>
      </c>
      <c r="B20" s="2" t="s">
        <v>3568</v>
      </c>
      <c r="C20" s="348">
        <v>41596</v>
      </c>
      <c r="D20" s="113" t="s">
        <v>3569</v>
      </c>
      <c r="E20" s="113" t="s">
        <v>3006</v>
      </c>
      <c r="F20" s="1"/>
      <c r="G20" s="1"/>
      <c r="H20" s="1"/>
      <c r="I20" s="1"/>
      <c r="J20" s="1"/>
      <c r="K20" s="1"/>
      <c r="L20" s="1"/>
      <c r="M20" s="1"/>
      <c r="N20" s="1"/>
      <c r="O20" s="1"/>
      <c r="P20" s="1"/>
      <c r="Q20" s="1"/>
      <c r="R20" s="1"/>
      <c r="S20" s="1"/>
      <c r="T20" s="1"/>
      <c r="U20" s="1"/>
      <c r="V20" s="1"/>
      <c r="W20" s="1"/>
      <c r="X20" s="1"/>
      <c r="Y20" s="1"/>
    </row>
    <row r="21" spans="1:25" ht="244.8">
      <c r="A21" s="113">
        <v>20</v>
      </c>
      <c r="B21" s="2" t="s">
        <v>3570</v>
      </c>
      <c r="C21" s="412">
        <v>41603</v>
      </c>
      <c r="D21" s="113" t="s">
        <v>3571</v>
      </c>
      <c r="E21" s="113" t="s">
        <v>469</v>
      </c>
      <c r="F21" s="3"/>
      <c r="G21" s="3"/>
      <c r="H21" s="3"/>
      <c r="I21" s="3"/>
      <c r="J21" s="3"/>
      <c r="K21" s="1"/>
      <c r="L21" s="1"/>
      <c r="M21" s="1"/>
      <c r="N21" s="3"/>
      <c r="O21" s="1"/>
      <c r="P21" s="1"/>
      <c r="Q21" s="1"/>
      <c r="R21" s="1"/>
      <c r="S21" s="1"/>
      <c r="T21" s="3"/>
      <c r="U21" s="3"/>
      <c r="V21" s="3"/>
      <c r="W21" s="3"/>
      <c r="X21" s="3"/>
      <c r="Y21" s="3"/>
    </row>
    <row r="22" spans="1:25" ht="115.2">
      <c r="A22" s="113">
        <v>21</v>
      </c>
      <c r="B22" s="2" t="s">
        <v>3572</v>
      </c>
      <c r="C22" s="412">
        <v>41655</v>
      </c>
      <c r="D22" s="113" t="s">
        <v>3573</v>
      </c>
      <c r="E22" s="113" t="s">
        <v>21</v>
      </c>
      <c r="F22" s="3"/>
      <c r="G22" s="3"/>
      <c r="H22" s="3"/>
      <c r="I22" s="3"/>
      <c r="J22" s="3"/>
      <c r="K22" s="1"/>
      <c r="L22" s="1"/>
      <c r="M22" s="1"/>
      <c r="N22" s="3"/>
      <c r="O22" s="1"/>
      <c r="P22" s="1"/>
      <c r="Q22" s="1"/>
      <c r="R22" s="1"/>
      <c r="S22" s="1"/>
      <c r="T22" s="3"/>
      <c r="U22" s="3"/>
      <c r="V22" s="3"/>
      <c r="W22" s="3"/>
      <c r="X22" s="3"/>
      <c r="Y22" s="3"/>
    </row>
    <row r="23" spans="1:25" ht="158.4">
      <c r="A23" s="113">
        <v>22</v>
      </c>
      <c r="B23" s="2" t="s">
        <v>3574</v>
      </c>
      <c r="C23" s="412">
        <v>41662</v>
      </c>
      <c r="D23" s="113" t="s">
        <v>3575</v>
      </c>
      <c r="E23" s="113" t="s">
        <v>1547</v>
      </c>
      <c r="F23" s="3"/>
      <c r="G23" s="3"/>
      <c r="H23" s="3"/>
      <c r="I23" s="3"/>
      <c r="J23" s="3"/>
      <c r="K23" s="1"/>
      <c r="L23" s="1"/>
      <c r="M23" s="1"/>
      <c r="N23" s="3"/>
      <c r="O23" s="1"/>
      <c r="P23" s="1"/>
      <c r="Q23" s="1"/>
      <c r="R23" s="1"/>
      <c r="S23" s="1"/>
      <c r="T23" s="3"/>
      <c r="U23" s="3"/>
      <c r="V23" s="3"/>
      <c r="W23" s="3"/>
      <c r="X23" s="3"/>
      <c r="Y23" s="3"/>
    </row>
    <row r="24" spans="1:25" ht="33.75" customHeight="1">
      <c r="A24" s="113">
        <v>23</v>
      </c>
      <c r="B24" s="2" t="s">
        <v>3576</v>
      </c>
      <c r="C24" s="412">
        <v>41682</v>
      </c>
      <c r="D24" s="113" t="s">
        <v>3577</v>
      </c>
      <c r="E24" s="113" t="s">
        <v>1547</v>
      </c>
      <c r="F24" s="1"/>
      <c r="G24" s="1"/>
      <c r="H24" s="1"/>
      <c r="I24" s="1"/>
      <c r="J24" s="1"/>
      <c r="K24" s="1"/>
      <c r="L24" s="1"/>
      <c r="M24" s="1"/>
      <c r="N24" s="1"/>
      <c r="O24" s="1"/>
      <c r="P24" s="1"/>
      <c r="Q24" s="1"/>
      <c r="R24" s="1"/>
      <c r="S24" s="1"/>
      <c r="T24" s="1"/>
      <c r="U24" s="1"/>
      <c r="V24" s="1"/>
      <c r="W24" s="1"/>
      <c r="X24" s="1"/>
      <c r="Y24" s="1"/>
    </row>
    <row r="25" spans="1:25" ht="33.75" customHeight="1">
      <c r="A25" s="113">
        <v>24</v>
      </c>
      <c r="B25" s="2" t="s">
        <v>3578</v>
      </c>
      <c r="C25" s="412">
        <v>42136</v>
      </c>
      <c r="D25" s="113" t="s">
        <v>3579</v>
      </c>
      <c r="E25" s="113" t="s">
        <v>3580</v>
      </c>
      <c r="F25" s="1"/>
      <c r="G25" s="1"/>
      <c r="H25" s="1"/>
      <c r="I25" s="1"/>
      <c r="J25" s="1"/>
      <c r="K25" s="1"/>
      <c r="L25" s="1"/>
      <c r="M25" s="1"/>
      <c r="N25" s="1"/>
      <c r="O25" s="1"/>
      <c r="P25" s="1"/>
      <c r="Q25" s="1"/>
      <c r="R25" s="1"/>
      <c r="S25" s="1"/>
      <c r="T25" s="1"/>
      <c r="U25" s="1"/>
      <c r="V25" s="1"/>
      <c r="W25" s="1"/>
      <c r="X25" s="1"/>
      <c r="Y25" s="1"/>
    </row>
    <row r="26" spans="1:25" ht="33.75" customHeight="1">
      <c r="A26" s="113">
        <v>25</v>
      </c>
      <c r="B26" s="2" t="s">
        <v>3581</v>
      </c>
      <c r="C26" s="412">
        <v>42152</v>
      </c>
      <c r="D26" s="113" t="s">
        <v>3582</v>
      </c>
      <c r="E26" s="113" t="s">
        <v>432</v>
      </c>
      <c r="F26" s="1"/>
      <c r="G26" s="1"/>
      <c r="H26" s="1"/>
      <c r="I26" s="1"/>
      <c r="J26" s="1"/>
      <c r="K26" s="1"/>
      <c r="L26" s="1"/>
      <c r="M26" s="1"/>
      <c r="N26" s="1"/>
      <c r="O26" s="1"/>
      <c r="P26" s="1"/>
      <c r="Q26" s="1"/>
      <c r="R26" s="1"/>
      <c r="S26" s="1"/>
      <c r="T26" s="1"/>
      <c r="U26" s="1"/>
      <c r="V26" s="1"/>
      <c r="W26" s="1"/>
      <c r="X26" s="1"/>
      <c r="Y26" s="1"/>
    </row>
    <row r="27" spans="1:25" ht="33.75" customHeight="1">
      <c r="A27" s="113">
        <v>26</v>
      </c>
      <c r="B27" s="2" t="s">
        <v>483</v>
      </c>
      <c r="C27" s="412">
        <v>42170</v>
      </c>
      <c r="D27" s="113" t="s">
        <v>3583</v>
      </c>
      <c r="E27" s="113" t="s">
        <v>21</v>
      </c>
      <c r="F27" s="1"/>
      <c r="G27" s="1"/>
      <c r="H27" s="1"/>
      <c r="I27" s="1"/>
      <c r="J27" s="1"/>
      <c r="K27" s="1"/>
      <c r="L27" s="1"/>
      <c r="M27" s="1"/>
      <c r="N27" s="1"/>
      <c r="O27" s="1"/>
      <c r="P27" s="1"/>
      <c r="Q27" s="1"/>
      <c r="R27" s="1"/>
      <c r="S27" s="1"/>
      <c r="T27" s="1"/>
      <c r="U27" s="1"/>
      <c r="V27" s="1"/>
      <c r="W27" s="1"/>
      <c r="X27" s="1"/>
      <c r="Y27" s="1"/>
    </row>
    <row r="28" spans="1:25" ht="33.75" customHeight="1">
      <c r="A28" s="113">
        <v>27</v>
      </c>
      <c r="B28" s="2" t="s">
        <v>3584</v>
      </c>
      <c r="C28" s="412">
        <v>42255</v>
      </c>
      <c r="D28" s="113" t="s">
        <v>3585</v>
      </c>
      <c r="E28" s="113" t="s">
        <v>21</v>
      </c>
      <c r="F28" s="1"/>
      <c r="G28" s="1"/>
      <c r="H28" s="1"/>
      <c r="I28" s="1"/>
      <c r="J28" s="1"/>
      <c r="K28" s="1"/>
      <c r="L28" s="1"/>
      <c r="M28" s="1"/>
      <c r="N28" s="1"/>
      <c r="O28" s="1"/>
      <c r="P28" s="1"/>
      <c r="Q28" s="1"/>
      <c r="R28" s="1"/>
      <c r="S28" s="1"/>
      <c r="T28" s="1"/>
      <c r="U28" s="1"/>
      <c r="V28" s="1"/>
      <c r="W28" s="1"/>
      <c r="X28" s="1"/>
      <c r="Y28" s="1"/>
    </row>
    <row r="29" spans="1:25" ht="33.75" customHeight="1">
      <c r="A29" s="113">
        <v>28</v>
      </c>
      <c r="B29" s="2" t="s">
        <v>406</v>
      </c>
      <c r="C29" s="412">
        <v>42265</v>
      </c>
      <c r="D29" s="113" t="s">
        <v>3586</v>
      </c>
      <c r="E29" s="113" t="s">
        <v>3587</v>
      </c>
      <c r="F29" s="1"/>
      <c r="G29" s="1"/>
      <c r="H29" s="1"/>
      <c r="I29" s="1"/>
      <c r="J29" s="1"/>
      <c r="K29" s="1"/>
      <c r="L29" s="1"/>
      <c r="M29" s="1"/>
      <c r="N29" s="1"/>
      <c r="O29" s="1"/>
      <c r="P29" s="1"/>
      <c r="Q29" s="1"/>
      <c r="R29" s="1"/>
      <c r="S29" s="1"/>
      <c r="T29" s="1"/>
      <c r="U29" s="1"/>
      <c r="V29" s="1"/>
      <c r="W29" s="1"/>
      <c r="X29" s="1"/>
      <c r="Y29" s="1"/>
    </row>
    <row r="30" spans="1:25" ht="33.75" customHeight="1">
      <c r="A30" s="113">
        <v>29</v>
      </c>
      <c r="B30" s="2" t="s">
        <v>3588</v>
      </c>
      <c r="C30" s="412">
        <v>42306</v>
      </c>
      <c r="D30" s="113" t="s">
        <v>3589</v>
      </c>
      <c r="E30" s="113" t="s">
        <v>3590</v>
      </c>
      <c r="F30" s="1"/>
      <c r="G30" s="1"/>
      <c r="H30" s="1"/>
      <c r="I30" s="1"/>
      <c r="J30" s="1"/>
      <c r="K30" s="1"/>
      <c r="L30" s="1"/>
      <c r="M30" s="1"/>
      <c r="N30" s="1"/>
      <c r="O30" s="1"/>
      <c r="P30" s="1"/>
      <c r="Q30" s="1"/>
      <c r="R30" s="1"/>
      <c r="S30" s="1"/>
      <c r="T30" s="1"/>
      <c r="U30" s="1"/>
      <c r="V30" s="1"/>
      <c r="W30" s="1"/>
      <c r="X30" s="1"/>
      <c r="Y30" s="1"/>
    </row>
    <row r="31" spans="1:25" ht="33.75" customHeight="1">
      <c r="A31" s="113">
        <v>30</v>
      </c>
      <c r="B31" s="2" t="s">
        <v>3591</v>
      </c>
      <c r="C31" s="412">
        <v>42346</v>
      </c>
      <c r="D31" s="113" t="s">
        <v>3592</v>
      </c>
      <c r="E31" s="113" t="s">
        <v>7</v>
      </c>
      <c r="F31" s="1"/>
      <c r="G31" s="1"/>
      <c r="H31" s="1"/>
      <c r="I31" s="1"/>
      <c r="J31" s="1"/>
      <c r="K31" s="1"/>
      <c r="L31" s="1"/>
      <c r="M31" s="1"/>
      <c r="N31" s="1"/>
      <c r="O31" s="1"/>
      <c r="P31" s="1"/>
      <c r="Q31" s="1"/>
      <c r="R31" s="1"/>
      <c r="S31" s="1"/>
      <c r="T31" s="1"/>
      <c r="U31" s="1"/>
      <c r="V31" s="1"/>
      <c r="W31" s="1"/>
      <c r="X31" s="1"/>
      <c r="Y31" s="1"/>
    </row>
    <row r="32" spans="1:25" ht="33.75" customHeight="1">
      <c r="A32" s="113">
        <v>31</v>
      </c>
      <c r="B32" s="2" t="s">
        <v>3593</v>
      </c>
      <c r="C32" s="412">
        <v>42348</v>
      </c>
      <c r="D32" s="113" t="s">
        <v>3594</v>
      </c>
      <c r="E32" s="113" t="s">
        <v>7</v>
      </c>
      <c r="F32" s="1"/>
      <c r="G32" s="1"/>
      <c r="H32" s="1"/>
      <c r="I32" s="1"/>
      <c r="J32" s="1"/>
      <c r="K32" s="1"/>
      <c r="L32" s="1"/>
      <c r="M32" s="1"/>
      <c r="N32" s="1"/>
      <c r="O32" s="1"/>
      <c r="P32" s="1"/>
      <c r="Q32" s="1"/>
      <c r="R32" s="1"/>
      <c r="S32" s="1"/>
      <c r="T32" s="1"/>
      <c r="U32" s="1"/>
      <c r="V32" s="1"/>
      <c r="W32" s="1"/>
      <c r="X32" s="1"/>
      <c r="Y32" s="1"/>
    </row>
    <row r="33" spans="1:25" ht="33.75" customHeight="1">
      <c r="A33" s="113">
        <v>32</v>
      </c>
      <c r="B33" s="2" t="s">
        <v>3595</v>
      </c>
      <c r="C33" s="412">
        <v>42417</v>
      </c>
      <c r="D33" s="113" t="s">
        <v>3596</v>
      </c>
      <c r="E33" s="113" t="s">
        <v>3597</v>
      </c>
      <c r="F33" s="1"/>
      <c r="G33" s="1"/>
      <c r="H33" s="1"/>
      <c r="I33" s="1"/>
      <c r="J33" s="1"/>
      <c r="K33" s="1"/>
      <c r="L33" s="1"/>
      <c r="M33" s="1"/>
      <c r="N33" s="1"/>
      <c r="O33" s="1"/>
      <c r="P33" s="1"/>
      <c r="Q33" s="1"/>
      <c r="R33" s="1"/>
      <c r="S33" s="1"/>
      <c r="T33" s="1"/>
      <c r="U33" s="1"/>
      <c r="V33" s="1"/>
      <c r="W33" s="1"/>
      <c r="X33" s="1"/>
      <c r="Y33" s="1"/>
    </row>
    <row r="34" spans="1:25" ht="33.75" customHeight="1">
      <c r="A34" s="113">
        <v>33</v>
      </c>
      <c r="B34" s="2" t="s">
        <v>3598</v>
      </c>
      <c r="C34" s="412">
        <v>42426</v>
      </c>
      <c r="D34" s="113" t="s">
        <v>3599</v>
      </c>
      <c r="E34" s="113" t="s">
        <v>3600</v>
      </c>
      <c r="F34" s="1"/>
      <c r="G34" s="1"/>
      <c r="H34" s="1"/>
      <c r="I34" s="1"/>
      <c r="J34" s="1"/>
      <c r="K34" s="1"/>
      <c r="L34" s="1"/>
      <c r="M34" s="1"/>
      <c r="N34" s="1"/>
      <c r="O34" s="1"/>
      <c r="P34" s="1"/>
      <c r="Q34" s="1"/>
      <c r="R34" s="1"/>
      <c r="S34" s="1"/>
      <c r="T34" s="1"/>
      <c r="U34" s="1"/>
      <c r="V34" s="1"/>
      <c r="W34" s="1"/>
      <c r="X34" s="1"/>
      <c r="Y34" s="1"/>
    </row>
    <row r="35" spans="1:25" ht="33.75" customHeight="1">
      <c r="A35" s="113">
        <v>34</v>
      </c>
      <c r="B35" s="2" t="s">
        <v>3601</v>
      </c>
      <c r="C35" s="412">
        <v>42437</v>
      </c>
      <c r="D35" s="113" t="s">
        <v>3602</v>
      </c>
      <c r="E35" s="113" t="s">
        <v>3603</v>
      </c>
      <c r="F35" s="1"/>
      <c r="G35" s="1"/>
      <c r="H35" s="1"/>
      <c r="I35" s="1"/>
      <c r="J35" s="1"/>
      <c r="K35" s="1"/>
      <c r="L35" s="1"/>
      <c r="M35" s="1"/>
      <c r="N35" s="1"/>
      <c r="O35" s="1"/>
      <c r="P35" s="1"/>
      <c r="Q35" s="1"/>
      <c r="R35" s="1"/>
      <c r="S35" s="1"/>
      <c r="T35" s="1"/>
      <c r="U35" s="1"/>
      <c r="V35" s="1"/>
      <c r="W35" s="1"/>
      <c r="X35" s="1"/>
      <c r="Y35" s="1"/>
    </row>
    <row r="36" spans="1:25" ht="33.75" customHeight="1">
      <c r="A36" s="113">
        <v>35</v>
      </c>
      <c r="B36" s="2" t="s">
        <v>3604</v>
      </c>
      <c r="C36" s="412">
        <v>42661</v>
      </c>
      <c r="D36" s="113" t="s">
        <v>3605</v>
      </c>
      <c r="E36" s="113" t="s">
        <v>21</v>
      </c>
      <c r="F36" s="1"/>
      <c r="G36" s="1"/>
      <c r="H36" s="1"/>
      <c r="I36" s="1"/>
      <c r="J36" s="1"/>
      <c r="K36" s="1"/>
      <c r="L36" s="1"/>
      <c r="M36" s="1"/>
      <c r="N36" s="1"/>
      <c r="O36" s="1"/>
      <c r="P36" s="1"/>
      <c r="Q36" s="1"/>
      <c r="R36" s="1"/>
      <c r="S36" s="1"/>
      <c r="T36" s="1"/>
      <c r="U36" s="1"/>
      <c r="V36" s="1"/>
      <c r="W36" s="1"/>
      <c r="X36" s="1"/>
      <c r="Y36" s="1"/>
    </row>
    <row r="37" spans="1:25" ht="33.75" customHeight="1">
      <c r="A37" s="113">
        <v>36</v>
      </c>
      <c r="B37" s="2" t="s">
        <v>3606</v>
      </c>
      <c r="C37" s="412">
        <v>42751</v>
      </c>
      <c r="D37" s="113" t="s">
        <v>3607</v>
      </c>
      <c r="E37" s="2" t="s">
        <v>3608</v>
      </c>
      <c r="F37" s="1"/>
      <c r="G37" s="1"/>
      <c r="H37" s="1"/>
      <c r="I37" s="1"/>
      <c r="J37" s="1"/>
      <c r="K37" s="1"/>
      <c r="L37" s="1"/>
      <c r="M37" s="1"/>
      <c r="N37" s="1"/>
      <c r="O37" s="1"/>
      <c r="P37" s="1"/>
      <c r="Q37" s="1"/>
      <c r="R37" s="1"/>
      <c r="S37" s="1"/>
      <c r="T37" s="1"/>
      <c r="U37" s="1"/>
      <c r="V37" s="1"/>
      <c r="W37" s="1"/>
      <c r="X37" s="1"/>
      <c r="Y37" s="1"/>
    </row>
    <row r="38" spans="1:25" ht="33.75" customHeight="1">
      <c r="A38" s="113">
        <v>36</v>
      </c>
      <c r="B38" s="2" t="s">
        <v>3609</v>
      </c>
      <c r="C38" s="412">
        <v>42751</v>
      </c>
      <c r="D38" s="113" t="s">
        <v>3610</v>
      </c>
      <c r="E38" s="2" t="s">
        <v>3608</v>
      </c>
      <c r="F38" s="1"/>
      <c r="G38" s="1"/>
      <c r="H38" s="1"/>
      <c r="I38" s="1"/>
      <c r="J38" s="1"/>
      <c r="K38" s="1"/>
      <c r="L38" s="1"/>
      <c r="M38" s="1"/>
      <c r="N38" s="1"/>
      <c r="O38" s="1"/>
      <c r="P38" s="1"/>
      <c r="Q38" s="1"/>
      <c r="R38" s="1"/>
      <c r="S38" s="1"/>
      <c r="T38" s="1"/>
      <c r="U38" s="1"/>
      <c r="V38" s="1"/>
      <c r="W38" s="1"/>
      <c r="X38" s="1"/>
      <c r="Y38" s="1"/>
    </row>
    <row r="39" spans="1:25" ht="33.75" customHeight="1">
      <c r="A39" s="113">
        <v>37</v>
      </c>
      <c r="B39" s="2" t="s">
        <v>3611</v>
      </c>
      <c r="C39" s="412">
        <v>42894</v>
      </c>
      <c r="D39" s="113" t="s">
        <v>3612</v>
      </c>
      <c r="E39" s="113" t="s">
        <v>21</v>
      </c>
      <c r="F39" s="1"/>
      <c r="G39" s="1"/>
      <c r="H39" s="1"/>
      <c r="I39" s="1"/>
      <c r="J39" s="1"/>
      <c r="K39" s="1"/>
      <c r="L39" s="1"/>
      <c r="M39" s="1"/>
      <c r="N39" s="1"/>
      <c r="O39" s="1"/>
      <c r="P39" s="1"/>
      <c r="Q39" s="1"/>
      <c r="R39" s="1"/>
      <c r="S39" s="1"/>
      <c r="T39" s="1"/>
      <c r="U39" s="1"/>
      <c r="V39" s="1"/>
      <c r="W39" s="1"/>
      <c r="X39" s="1"/>
      <c r="Y39" s="1"/>
    </row>
    <row r="40" spans="1:25" ht="33.75" customHeight="1">
      <c r="A40" s="113">
        <v>38</v>
      </c>
      <c r="B40" s="2" t="s">
        <v>3613</v>
      </c>
      <c r="C40" s="412">
        <v>42909</v>
      </c>
      <c r="D40" s="113" t="s">
        <v>3614</v>
      </c>
      <c r="E40" s="113" t="s">
        <v>3615</v>
      </c>
      <c r="F40" s="1"/>
      <c r="G40" s="1"/>
      <c r="H40" s="1"/>
      <c r="I40" s="1"/>
      <c r="J40" s="1"/>
      <c r="K40" s="1"/>
      <c r="L40" s="1"/>
      <c r="M40" s="1"/>
      <c r="N40" s="1"/>
      <c r="O40" s="1"/>
      <c r="P40" s="1"/>
      <c r="Q40" s="1"/>
      <c r="R40" s="1"/>
      <c r="S40" s="1"/>
      <c r="T40" s="1"/>
      <c r="U40" s="1"/>
      <c r="V40" s="1"/>
      <c r="W40" s="1"/>
      <c r="X40" s="1"/>
      <c r="Y40" s="1"/>
    </row>
    <row r="41" spans="1:25" ht="115.2">
      <c r="A41" s="113">
        <v>39</v>
      </c>
      <c r="B41" s="8" t="s">
        <v>3616</v>
      </c>
      <c r="C41" s="412">
        <v>42921</v>
      </c>
      <c r="D41" s="113" t="s">
        <v>3617</v>
      </c>
      <c r="E41" s="113" t="s">
        <v>227</v>
      </c>
      <c r="F41" s="1"/>
      <c r="G41" s="1"/>
      <c r="H41" s="1"/>
      <c r="I41" s="1"/>
      <c r="J41" s="1"/>
      <c r="K41" s="1"/>
      <c r="L41" s="1"/>
      <c r="M41" s="1"/>
      <c r="N41" s="1"/>
      <c r="O41" s="1"/>
      <c r="P41" s="1"/>
      <c r="Q41" s="1"/>
      <c r="R41" s="1"/>
      <c r="S41" s="1"/>
      <c r="T41" s="1"/>
      <c r="U41" s="1"/>
      <c r="V41" s="1"/>
      <c r="W41" s="1"/>
      <c r="X41" s="1"/>
      <c r="Y41" s="1"/>
    </row>
    <row r="42" spans="1:25" ht="158.4">
      <c r="A42" s="15">
        <v>40</v>
      </c>
      <c r="B42" s="8" t="s">
        <v>3618</v>
      </c>
      <c r="C42" s="412">
        <v>43063</v>
      </c>
      <c r="D42" s="113" t="s">
        <v>3619</v>
      </c>
      <c r="E42" s="113" t="s">
        <v>1416</v>
      </c>
      <c r="F42" s="1"/>
      <c r="G42" s="1"/>
      <c r="H42" s="1"/>
      <c r="I42" s="1"/>
      <c r="J42" s="1"/>
      <c r="K42" s="1"/>
      <c r="L42" s="1"/>
      <c r="M42" s="1"/>
      <c r="N42" s="1"/>
      <c r="O42" s="1"/>
      <c r="P42" s="1"/>
      <c r="Q42" s="1"/>
      <c r="R42" s="1"/>
      <c r="S42" s="1"/>
      <c r="T42" s="1"/>
      <c r="U42" s="1"/>
      <c r="V42" s="1"/>
      <c r="W42" s="1"/>
      <c r="X42" s="1"/>
      <c r="Y42" s="1"/>
    </row>
    <row r="43" spans="1:25" ht="187.2">
      <c r="A43" s="15">
        <v>41</v>
      </c>
      <c r="B43" s="2" t="s">
        <v>3620</v>
      </c>
      <c r="C43" s="413">
        <v>43157</v>
      </c>
      <c r="D43" s="113" t="s">
        <v>3621</v>
      </c>
      <c r="E43" s="113" t="s">
        <v>1509</v>
      </c>
      <c r="F43" s="1"/>
      <c r="G43" s="1"/>
      <c r="H43" s="1"/>
      <c r="I43" s="1"/>
      <c r="J43" s="1"/>
      <c r="K43" s="1"/>
      <c r="L43" s="1"/>
      <c r="M43" s="1"/>
      <c r="N43" s="1"/>
      <c r="O43" s="1"/>
      <c r="P43" s="1"/>
      <c r="Q43" s="1"/>
      <c r="R43" s="1"/>
      <c r="S43" s="1"/>
      <c r="T43" s="1"/>
      <c r="U43" s="1"/>
      <c r="V43" s="1"/>
      <c r="W43" s="1"/>
      <c r="X43" s="1"/>
      <c r="Y43" s="1"/>
    </row>
    <row r="44" spans="1:25" ht="259.2">
      <c r="A44" s="15">
        <v>42</v>
      </c>
      <c r="B44" s="2" t="s">
        <v>3622</v>
      </c>
      <c r="C44" s="413">
        <v>43231</v>
      </c>
      <c r="D44" s="113" t="s">
        <v>3623</v>
      </c>
      <c r="E44" s="113" t="s">
        <v>3624</v>
      </c>
      <c r="F44" s="1"/>
      <c r="G44" s="1"/>
      <c r="H44" s="1"/>
      <c r="I44" s="1"/>
      <c r="J44" s="1"/>
      <c r="K44" s="1"/>
      <c r="L44" s="1"/>
      <c r="M44" s="1"/>
      <c r="N44" s="1"/>
      <c r="O44" s="1"/>
      <c r="P44" s="1"/>
      <c r="Q44" s="1"/>
      <c r="R44" s="1"/>
      <c r="S44" s="1"/>
      <c r="T44" s="1"/>
      <c r="U44" s="1"/>
      <c r="V44" s="1"/>
      <c r="W44" s="1"/>
      <c r="X44" s="1"/>
      <c r="Y44" s="1"/>
    </row>
    <row r="45" spans="1:25" ht="33.75" customHeight="1">
      <c r="A45" s="15"/>
      <c r="B45" s="154" t="s">
        <v>3625</v>
      </c>
      <c r="C45" s="15"/>
      <c r="D45" s="113"/>
      <c r="E45" s="113"/>
      <c r="F45" s="1"/>
      <c r="G45" s="1"/>
      <c r="H45" s="1"/>
      <c r="I45" s="1"/>
      <c r="J45" s="1"/>
      <c r="K45" s="1"/>
      <c r="L45" s="1"/>
      <c r="M45" s="1"/>
      <c r="N45" s="1"/>
      <c r="O45" s="1"/>
      <c r="P45" s="1"/>
      <c r="Q45" s="1"/>
      <c r="R45" s="1"/>
      <c r="S45" s="1"/>
      <c r="T45" s="1"/>
      <c r="U45" s="1"/>
      <c r="V45" s="1"/>
      <c r="W45" s="1"/>
      <c r="X45" s="1"/>
      <c r="Y45" s="1"/>
    </row>
    <row r="46" spans="1:25" ht="259.2">
      <c r="A46" s="15">
        <v>43</v>
      </c>
      <c r="B46" s="15" t="s">
        <v>3626</v>
      </c>
      <c r="C46" s="413">
        <f>DATE(2019,3,27)</f>
        <v>43551</v>
      </c>
      <c r="D46" s="113" t="s">
        <v>3627</v>
      </c>
      <c r="E46" s="113" t="s">
        <v>1766</v>
      </c>
      <c r="F46" s="1"/>
      <c r="G46" s="1"/>
      <c r="H46" s="1"/>
      <c r="I46" s="1"/>
      <c r="J46" s="1"/>
      <c r="K46" s="1"/>
      <c r="L46" s="1"/>
      <c r="M46" s="1"/>
      <c r="N46" s="1"/>
      <c r="O46" s="1"/>
      <c r="P46" s="1"/>
      <c r="Q46" s="1"/>
      <c r="R46" s="1"/>
      <c r="S46" s="1"/>
      <c r="T46" s="1"/>
      <c r="U46" s="1"/>
      <c r="V46" s="1"/>
      <c r="W46" s="1"/>
      <c r="X46" s="1"/>
      <c r="Y46" s="1"/>
    </row>
    <row r="47" spans="1:25" ht="86.4">
      <c r="A47" s="414">
        <v>44</v>
      </c>
      <c r="B47" s="415" t="s">
        <v>3628</v>
      </c>
      <c r="C47" s="416">
        <v>44111</v>
      </c>
      <c r="D47" s="113" t="s">
        <v>3629</v>
      </c>
      <c r="E47" s="113" t="s">
        <v>21</v>
      </c>
      <c r="F47" s="112"/>
      <c r="G47" s="3"/>
      <c r="H47" s="3"/>
      <c r="I47" s="3"/>
      <c r="J47" s="3"/>
      <c r="K47" s="3"/>
      <c r="L47" s="3"/>
      <c r="M47" s="3"/>
      <c r="N47" s="3"/>
      <c r="O47" s="3"/>
      <c r="P47" s="3"/>
      <c r="Q47" s="3"/>
      <c r="R47" s="3"/>
      <c r="S47" s="3"/>
      <c r="T47" s="3"/>
      <c r="U47" s="3"/>
      <c r="V47" s="3"/>
      <c r="W47" s="3"/>
      <c r="X47" s="3"/>
      <c r="Y47" s="3"/>
    </row>
    <row r="48" spans="1:25" ht="28.8">
      <c r="A48" s="15">
        <v>45</v>
      </c>
      <c r="B48" s="74" t="s">
        <v>3630</v>
      </c>
      <c r="C48" s="416">
        <v>44589</v>
      </c>
      <c r="D48" s="113" t="s">
        <v>3631</v>
      </c>
      <c r="E48" s="113" t="s">
        <v>21</v>
      </c>
      <c r="F48" s="1"/>
      <c r="G48" s="1"/>
      <c r="H48" s="1"/>
      <c r="I48" s="1"/>
      <c r="J48" s="1"/>
      <c r="K48" s="1"/>
      <c r="L48" s="1"/>
      <c r="M48" s="1"/>
      <c r="N48" s="1"/>
      <c r="O48" s="1"/>
      <c r="P48" s="1"/>
      <c r="Q48" s="1"/>
      <c r="R48" s="1"/>
      <c r="S48" s="1"/>
      <c r="T48" s="1"/>
      <c r="U48" s="1"/>
      <c r="V48" s="1"/>
      <c r="W48" s="1"/>
      <c r="X48" s="1"/>
      <c r="Y48" s="1"/>
    </row>
    <row r="49" spans="1:25" s="19" customFormat="1" ht="57.6">
      <c r="A49" s="15">
        <v>46</v>
      </c>
      <c r="B49" s="417" t="s">
        <v>3632</v>
      </c>
      <c r="C49" s="416">
        <v>44678</v>
      </c>
      <c r="D49" s="113" t="s">
        <v>3633</v>
      </c>
      <c r="E49" s="74" t="s">
        <v>3634</v>
      </c>
      <c r="F49" s="1"/>
      <c r="G49" s="1"/>
      <c r="H49" s="1"/>
      <c r="I49" s="1"/>
      <c r="J49" s="1"/>
      <c r="K49" s="1"/>
      <c r="L49" s="1"/>
      <c r="M49" s="1"/>
      <c r="N49" s="1"/>
      <c r="O49" s="1"/>
      <c r="P49" s="1"/>
      <c r="Q49" s="1"/>
      <c r="R49" s="1"/>
      <c r="S49" s="1"/>
      <c r="T49" s="1"/>
      <c r="U49" s="1"/>
      <c r="V49" s="1"/>
      <c r="W49" s="1"/>
      <c r="X49" s="1"/>
      <c r="Y49" s="1"/>
    </row>
    <row r="50" spans="1:25" s="19" customFormat="1" ht="72">
      <c r="A50" s="15">
        <v>47</v>
      </c>
      <c r="B50" s="418" t="s">
        <v>3635</v>
      </c>
      <c r="C50" s="416">
        <v>44700</v>
      </c>
      <c r="D50" s="113" t="s">
        <v>3636</v>
      </c>
      <c r="E50" s="113" t="s">
        <v>21</v>
      </c>
      <c r="F50" s="1"/>
      <c r="G50" s="1"/>
      <c r="H50" s="1"/>
      <c r="I50" s="1"/>
      <c r="J50" s="1"/>
      <c r="K50" s="1"/>
      <c r="L50" s="1"/>
      <c r="M50" s="1"/>
      <c r="N50" s="1"/>
      <c r="O50" s="1"/>
      <c r="P50" s="1"/>
      <c r="Q50" s="1"/>
      <c r="R50" s="1"/>
      <c r="S50" s="1"/>
      <c r="T50" s="1"/>
      <c r="U50" s="1"/>
      <c r="V50" s="1"/>
      <c r="W50" s="1"/>
      <c r="X50" s="1"/>
      <c r="Y50" s="1"/>
    </row>
    <row r="51" spans="1:25" s="19" customFormat="1" ht="43.2">
      <c r="A51" s="15">
        <v>48</v>
      </c>
      <c r="B51" s="74" t="s">
        <v>3637</v>
      </c>
      <c r="C51" s="416">
        <v>44727</v>
      </c>
      <c r="D51" s="113" t="s">
        <v>3638</v>
      </c>
      <c r="E51" s="113" t="s">
        <v>21</v>
      </c>
      <c r="F51" s="1"/>
      <c r="G51" s="1"/>
      <c r="H51" s="1"/>
      <c r="I51" s="1"/>
      <c r="J51" s="1"/>
      <c r="K51" s="1"/>
      <c r="L51" s="1"/>
      <c r="M51" s="1"/>
      <c r="N51" s="1"/>
      <c r="O51" s="1"/>
      <c r="P51" s="1"/>
      <c r="Q51" s="1"/>
      <c r="R51" s="1"/>
      <c r="S51" s="1"/>
      <c r="T51" s="1"/>
      <c r="U51" s="1"/>
      <c r="V51" s="1"/>
      <c r="W51" s="1"/>
      <c r="X51" s="1"/>
      <c r="Y51" s="1"/>
    </row>
    <row r="52" spans="1:25" s="19" customFormat="1" ht="57.6">
      <c r="A52" s="15">
        <v>49</v>
      </c>
      <c r="B52" s="74" t="s">
        <v>3639</v>
      </c>
      <c r="C52" s="416">
        <v>44917</v>
      </c>
      <c r="D52" s="74" t="s">
        <v>3640</v>
      </c>
      <c r="E52" s="74" t="s">
        <v>3641</v>
      </c>
      <c r="F52" s="1"/>
      <c r="G52" s="1"/>
      <c r="H52" s="1"/>
      <c r="I52" s="1"/>
      <c r="J52" s="1"/>
      <c r="K52" s="1"/>
      <c r="L52" s="1"/>
      <c r="M52" s="1"/>
      <c r="N52" s="1"/>
      <c r="O52" s="1"/>
      <c r="P52" s="1"/>
      <c r="Q52" s="1"/>
      <c r="R52" s="1"/>
      <c r="S52" s="1"/>
      <c r="T52" s="1"/>
      <c r="U52" s="1"/>
      <c r="V52" s="1"/>
      <c r="W52" s="1"/>
      <c r="X52" s="1"/>
      <c r="Y52" s="1"/>
    </row>
    <row r="53" spans="1:25" ht="33.75" customHeight="1">
      <c r="A53" s="1"/>
      <c r="B53" s="15"/>
      <c r="C53" s="9"/>
      <c r="D53" s="3"/>
      <c r="E53" s="3"/>
      <c r="F53" s="1"/>
      <c r="G53" s="1"/>
      <c r="H53" s="1"/>
      <c r="I53" s="1"/>
      <c r="J53" s="1"/>
      <c r="K53" s="1"/>
      <c r="L53" s="1"/>
      <c r="M53" s="1"/>
      <c r="N53" s="1"/>
      <c r="O53" s="1"/>
      <c r="P53" s="1"/>
      <c r="Q53" s="1"/>
      <c r="R53" s="1"/>
      <c r="S53" s="1"/>
      <c r="T53" s="1"/>
      <c r="U53" s="1"/>
      <c r="V53" s="1"/>
      <c r="W53" s="1"/>
      <c r="X53" s="1"/>
      <c r="Y53" s="1"/>
    </row>
    <row r="54" spans="1:25" ht="33.75" customHeight="1">
      <c r="A54" s="1"/>
      <c r="B54" s="15"/>
      <c r="C54" s="9"/>
      <c r="D54" s="3"/>
      <c r="E54" s="3"/>
      <c r="F54" s="1"/>
      <c r="G54" s="1"/>
      <c r="H54" s="1"/>
      <c r="I54" s="1"/>
      <c r="J54" s="1"/>
      <c r="K54" s="1"/>
      <c r="L54" s="1"/>
      <c r="M54" s="1"/>
      <c r="N54" s="1"/>
      <c r="O54" s="1"/>
      <c r="P54" s="1"/>
      <c r="Q54" s="1"/>
      <c r="R54" s="1"/>
      <c r="S54" s="1"/>
      <c r="T54" s="1"/>
      <c r="U54" s="1"/>
      <c r="V54" s="1"/>
      <c r="W54" s="1"/>
      <c r="X54" s="1"/>
      <c r="Y54" s="1"/>
    </row>
    <row r="55" spans="1:25" ht="33.75" customHeight="1">
      <c r="A55" s="1"/>
      <c r="B55" s="15"/>
      <c r="C55" s="9"/>
      <c r="D55" s="3"/>
      <c r="E55" s="3"/>
      <c r="F55" s="1"/>
      <c r="G55" s="1"/>
      <c r="H55" s="1"/>
      <c r="I55" s="1"/>
      <c r="J55" s="1"/>
      <c r="K55" s="1"/>
      <c r="L55" s="1"/>
      <c r="M55" s="1"/>
      <c r="N55" s="1"/>
      <c r="O55" s="1"/>
      <c r="P55" s="1"/>
      <c r="Q55" s="1"/>
      <c r="R55" s="1"/>
      <c r="S55" s="1"/>
      <c r="T55" s="1"/>
      <c r="U55" s="1"/>
      <c r="V55" s="1"/>
      <c r="W55" s="1"/>
      <c r="X55" s="1"/>
      <c r="Y55" s="1"/>
    </row>
    <row r="56" spans="1:25" ht="33.75" customHeight="1">
      <c r="A56" s="1"/>
      <c r="B56" s="15"/>
      <c r="C56" s="9"/>
      <c r="D56" s="3"/>
      <c r="E56" s="3"/>
      <c r="F56" s="1"/>
      <c r="G56" s="1"/>
      <c r="H56" s="1"/>
      <c r="I56" s="1"/>
      <c r="J56" s="1"/>
      <c r="K56" s="1"/>
      <c r="L56" s="1"/>
      <c r="M56" s="1"/>
      <c r="N56" s="1"/>
      <c r="O56" s="1"/>
      <c r="P56" s="1"/>
      <c r="Q56" s="1"/>
      <c r="R56" s="1"/>
      <c r="S56" s="1"/>
      <c r="T56" s="1"/>
      <c r="U56" s="1"/>
      <c r="V56" s="1"/>
      <c r="W56" s="1"/>
      <c r="X56" s="1"/>
      <c r="Y56" s="1"/>
    </row>
    <row r="57" spans="1:25" ht="33.75" customHeight="1">
      <c r="A57" s="1"/>
      <c r="B57" s="15"/>
      <c r="C57" s="9"/>
      <c r="D57" s="3"/>
      <c r="E57" s="3"/>
      <c r="F57" s="1"/>
      <c r="G57" s="1"/>
      <c r="H57" s="1"/>
      <c r="I57" s="1"/>
      <c r="J57" s="1"/>
      <c r="K57" s="1"/>
      <c r="L57" s="1"/>
      <c r="M57" s="1"/>
      <c r="N57" s="1"/>
      <c r="O57" s="1"/>
      <c r="P57" s="1"/>
      <c r="Q57" s="1"/>
      <c r="R57" s="1"/>
      <c r="S57" s="1"/>
      <c r="T57" s="1"/>
      <c r="U57" s="1"/>
      <c r="V57" s="1"/>
      <c r="W57" s="1"/>
      <c r="X57" s="1"/>
      <c r="Y57" s="1"/>
    </row>
    <row r="58" spans="1:25" ht="33.75" customHeight="1">
      <c r="A58" s="1"/>
      <c r="B58" s="15"/>
      <c r="C58" s="9"/>
      <c r="D58" s="3"/>
      <c r="E58" s="3"/>
      <c r="F58" s="1"/>
      <c r="G58" s="1"/>
      <c r="H58" s="1"/>
      <c r="I58" s="1"/>
      <c r="J58" s="1"/>
      <c r="K58" s="1"/>
      <c r="L58" s="1"/>
      <c r="M58" s="1"/>
      <c r="N58" s="1"/>
      <c r="O58" s="1"/>
      <c r="P58" s="1"/>
      <c r="Q58" s="1"/>
      <c r="R58" s="1"/>
      <c r="S58" s="1"/>
      <c r="T58" s="1"/>
      <c r="U58" s="1"/>
      <c r="V58" s="1"/>
      <c r="W58" s="1"/>
      <c r="X58" s="1"/>
      <c r="Y58" s="1"/>
    </row>
    <row r="59" spans="1:25" ht="33.75" customHeight="1">
      <c r="A59" s="1"/>
      <c r="B59" s="15"/>
      <c r="C59" s="9"/>
      <c r="D59" s="3"/>
      <c r="E59" s="3"/>
      <c r="F59" s="1"/>
      <c r="G59" s="1"/>
      <c r="H59" s="1"/>
      <c r="I59" s="1"/>
      <c r="J59" s="1"/>
      <c r="K59" s="1"/>
      <c r="L59" s="1"/>
      <c r="M59" s="1"/>
      <c r="N59" s="1"/>
      <c r="O59" s="1"/>
      <c r="P59" s="1"/>
      <c r="Q59" s="1"/>
      <c r="R59" s="1"/>
      <c r="S59" s="1"/>
      <c r="T59" s="1"/>
      <c r="U59" s="1"/>
      <c r="V59" s="1"/>
      <c r="W59" s="1"/>
      <c r="X59" s="1"/>
      <c r="Y59" s="1"/>
    </row>
    <row r="60" spans="1:25" ht="33.75" customHeight="1">
      <c r="A60" s="1"/>
      <c r="B60" s="15"/>
      <c r="C60" s="9"/>
      <c r="D60" s="3"/>
      <c r="E60" s="3"/>
      <c r="F60" s="1"/>
      <c r="G60" s="1"/>
      <c r="H60" s="1"/>
      <c r="I60" s="1"/>
      <c r="J60" s="1"/>
      <c r="K60" s="1"/>
      <c r="L60" s="1"/>
      <c r="M60" s="1"/>
      <c r="N60" s="1"/>
      <c r="O60" s="1"/>
      <c r="P60" s="1"/>
      <c r="Q60" s="1"/>
      <c r="R60" s="1"/>
      <c r="S60" s="1"/>
      <c r="T60" s="1"/>
      <c r="U60" s="1"/>
      <c r="V60" s="1"/>
      <c r="W60" s="1"/>
      <c r="X60" s="1"/>
      <c r="Y60" s="1"/>
    </row>
    <row r="61" spans="1:25" ht="33.75" customHeight="1">
      <c r="A61" s="1"/>
      <c r="B61" s="15"/>
      <c r="C61" s="9"/>
      <c r="D61" s="3"/>
      <c r="E61" s="3"/>
      <c r="F61" s="1"/>
      <c r="G61" s="1"/>
      <c r="H61" s="1"/>
      <c r="I61" s="1"/>
      <c r="J61" s="1"/>
      <c r="K61" s="1"/>
      <c r="L61" s="1"/>
      <c r="M61" s="1"/>
      <c r="N61" s="1"/>
      <c r="O61" s="1"/>
      <c r="P61" s="1"/>
      <c r="Q61" s="1"/>
      <c r="R61" s="1"/>
      <c r="S61" s="1"/>
      <c r="T61" s="1"/>
      <c r="U61" s="1"/>
      <c r="V61" s="1"/>
      <c r="W61" s="1"/>
      <c r="X61" s="1"/>
      <c r="Y61" s="1"/>
    </row>
    <row r="62" spans="1:25" ht="33.75" customHeight="1">
      <c r="A62" s="1"/>
      <c r="B62" s="15"/>
      <c r="C62" s="9"/>
      <c r="D62" s="3"/>
      <c r="E62" s="3"/>
      <c r="F62" s="1"/>
      <c r="G62" s="1"/>
      <c r="H62" s="1"/>
      <c r="I62" s="1"/>
      <c r="J62" s="1"/>
      <c r="K62" s="1"/>
      <c r="L62" s="1"/>
      <c r="M62" s="1"/>
      <c r="N62" s="1"/>
      <c r="O62" s="1"/>
      <c r="P62" s="1"/>
      <c r="Q62" s="1"/>
      <c r="R62" s="1"/>
      <c r="S62" s="1"/>
      <c r="T62" s="1"/>
      <c r="U62" s="1"/>
      <c r="V62" s="1"/>
      <c r="W62" s="1"/>
      <c r="X62" s="1"/>
      <c r="Y62" s="1"/>
    </row>
    <row r="63" spans="1:25" ht="33.75" customHeight="1">
      <c r="A63" s="1"/>
      <c r="B63" s="15"/>
      <c r="C63" s="9"/>
      <c r="D63" s="3"/>
      <c r="E63" s="3"/>
      <c r="F63" s="1"/>
      <c r="G63" s="1"/>
      <c r="H63" s="1"/>
      <c r="I63" s="1"/>
      <c r="J63" s="1"/>
      <c r="K63" s="1"/>
      <c r="L63" s="1"/>
      <c r="M63" s="1"/>
      <c r="N63" s="1"/>
      <c r="O63" s="1"/>
      <c r="P63" s="1"/>
      <c r="Q63" s="1"/>
      <c r="R63" s="1"/>
      <c r="S63" s="1"/>
      <c r="T63" s="1"/>
      <c r="U63" s="1"/>
      <c r="V63" s="1"/>
      <c r="W63" s="1"/>
      <c r="X63" s="1"/>
      <c r="Y63" s="1"/>
    </row>
    <row r="64" spans="1:25" ht="33.75" customHeight="1">
      <c r="A64" s="1"/>
      <c r="B64" s="15"/>
      <c r="C64" s="9"/>
      <c r="D64" s="3"/>
      <c r="E64" s="3"/>
      <c r="F64" s="1"/>
      <c r="G64" s="1"/>
      <c r="H64" s="1"/>
      <c r="I64" s="1"/>
      <c r="J64" s="1"/>
      <c r="K64" s="1"/>
      <c r="L64" s="1"/>
      <c r="M64" s="1"/>
      <c r="N64" s="1"/>
      <c r="O64" s="1"/>
      <c r="P64" s="1"/>
      <c r="Q64" s="1"/>
      <c r="R64" s="1"/>
      <c r="S64" s="1"/>
      <c r="T64" s="1"/>
      <c r="U64" s="1"/>
      <c r="V64" s="1"/>
      <c r="W64" s="1"/>
      <c r="X64" s="1"/>
      <c r="Y64" s="1"/>
    </row>
    <row r="65" spans="1:25" ht="33.75" customHeight="1">
      <c r="A65" s="1"/>
      <c r="B65" s="15"/>
      <c r="C65" s="9"/>
      <c r="D65" s="3"/>
      <c r="E65" s="3"/>
      <c r="F65" s="1"/>
      <c r="G65" s="1"/>
      <c r="H65" s="1"/>
      <c r="I65" s="1"/>
      <c r="J65" s="1"/>
      <c r="K65" s="1"/>
      <c r="L65" s="1"/>
      <c r="M65" s="1"/>
      <c r="N65" s="1"/>
      <c r="O65" s="1"/>
      <c r="P65" s="1"/>
      <c r="Q65" s="1"/>
      <c r="R65" s="1"/>
      <c r="S65" s="1"/>
      <c r="T65" s="1"/>
      <c r="U65" s="1"/>
      <c r="V65" s="1"/>
      <c r="W65" s="1"/>
      <c r="X65" s="1"/>
      <c r="Y65" s="1"/>
    </row>
    <row r="66" spans="1:25" ht="33.75" customHeight="1">
      <c r="A66" s="1"/>
      <c r="B66" s="15"/>
      <c r="C66" s="9"/>
      <c r="D66" s="3"/>
      <c r="E66" s="3"/>
      <c r="F66" s="1"/>
      <c r="G66" s="1"/>
      <c r="H66" s="1"/>
      <c r="I66" s="1"/>
      <c r="J66" s="1"/>
      <c r="K66" s="1"/>
      <c r="L66" s="1"/>
      <c r="M66" s="1"/>
      <c r="N66" s="1"/>
      <c r="O66" s="1"/>
      <c r="P66" s="1"/>
      <c r="Q66" s="1"/>
      <c r="R66" s="1"/>
      <c r="S66" s="1"/>
      <c r="T66" s="1"/>
      <c r="U66" s="1"/>
      <c r="V66" s="1"/>
      <c r="W66" s="1"/>
      <c r="X66" s="1"/>
      <c r="Y66" s="1"/>
    </row>
    <row r="67" spans="1:25" ht="33.75" customHeight="1">
      <c r="A67" s="1"/>
      <c r="B67" s="15"/>
      <c r="C67" s="9"/>
      <c r="D67" s="3"/>
      <c r="E67" s="3"/>
      <c r="F67" s="1"/>
      <c r="G67" s="1"/>
      <c r="H67" s="1"/>
      <c r="I67" s="1"/>
      <c r="J67" s="1"/>
      <c r="K67" s="1"/>
      <c r="L67" s="1"/>
      <c r="M67" s="1"/>
      <c r="N67" s="1"/>
      <c r="O67" s="1"/>
      <c r="P67" s="1"/>
      <c r="Q67" s="1"/>
      <c r="R67" s="1"/>
      <c r="S67" s="1"/>
      <c r="T67" s="1"/>
      <c r="U67" s="1"/>
      <c r="V67" s="1"/>
      <c r="W67" s="1"/>
      <c r="X67" s="1"/>
      <c r="Y67" s="1"/>
    </row>
    <row r="68" spans="1:25" ht="33.75" customHeight="1">
      <c r="A68" s="1"/>
      <c r="B68" s="15"/>
      <c r="C68" s="9"/>
      <c r="D68" s="3"/>
      <c r="E68" s="3"/>
      <c r="F68" s="1"/>
      <c r="G68" s="1"/>
      <c r="H68" s="1"/>
      <c r="I68" s="1"/>
      <c r="J68" s="1"/>
      <c r="K68" s="1"/>
      <c r="L68" s="1"/>
      <c r="M68" s="1"/>
      <c r="N68" s="1"/>
      <c r="O68" s="1"/>
      <c r="P68" s="1"/>
      <c r="Q68" s="1"/>
      <c r="R68" s="1"/>
      <c r="S68" s="1"/>
      <c r="T68" s="1"/>
      <c r="U68" s="1"/>
      <c r="V68" s="1"/>
      <c r="W68" s="1"/>
      <c r="X68" s="1"/>
      <c r="Y68" s="1"/>
    </row>
    <row r="69" spans="1:25" ht="33.75" customHeight="1">
      <c r="A69" s="1"/>
      <c r="B69" s="15"/>
      <c r="C69" s="9"/>
      <c r="D69" s="3"/>
      <c r="E69" s="3"/>
      <c r="F69" s="1"/>
      <c r="G69" s="1"/>
      <c r="H69" s="1"/>
      <c r="I69" s="1"/>
      <c r="J69" s="1"/>
      <c r="K69" s="1"/>
      <c r="L69" s="1"/>
      <c r="M69" s="1"/>
      <c r="N69" s="1"/>
      <c r="O69" s="1"/>
      <c r="P69" s="1"/>
      <c r="Q69" s="1"/>
      <c r="R69" s="1"/>
      <c r="S69" s="1"/>
      <c r="T69" s="1"/>
      <c r="U69" s="1"/>
      <c r="V69" s="1"/>
      <c r="W69" s="1"/>
      <c r="X69" s="1"/>
      <c r="Y69" s="1"/>
    </row>
    <row r="70" spans="1:25" ht="33.75" customHeight="1">
      <c r="A70" s="1"/>
      <c r="B70" s="15"/>
      <c r="C70" s="9"/>
      <c r="D70" s="3"/>
      <c r="E70" s="3"/>
      <c r="F70" s="1"/>
      <c r="G70" s="1"/>
      <c r="H70" s="1"/>
      <c r="I70" s="1"/>
      <c r="J70" s="1"/>
      <c r="K70" s="1"/>
      <c r="L70" s="1"/>
      <c r="M70" s="1"/>
      <c r="N70" s="1"/>
      <c r="O70" s="1"/>
      <c r="P70" s="1"/>
      <c r="Q70" s="1"/>
      <c r="R70" s="1"/>
      <c r="S70" s="1"/>
      <c r="T70" s="1"/>
      <c r="U70" s="1"/>
      <c r="V70" s="1"/>
      <c r="W70" s="1"/>
      <c r="X70" s="1"/>
      <c r="Y70" s="1"/>
    </row>
    <row r="71" spans="1:25" ht="33.75" customHeight="1">
      <c r="A71" s="1"/>
      <c r="B71" s="15"/>
      <c r="C71" s="9"/>
      <c r="D71" s="3"/>
      <c r="E71" s="3"/>
      <c r="F71" s="1"/>
      <c r="G71" s="1"/>
      <c r="H71" s="1"/>
      <c r="I71" s="1"/>
      <c r="J71" s="1"/>
      <c r="K71" s="1"/>
      <c r="L71" s="1"/>
      <c r="M71" s="1"/>
      <c r="N71" s="1"/>
      <c r="O71" s="1"/>
      <c r="P71" s="1"/>
      <c r="Q71" s="1"/>
      <c r="R71" s="1"/>
      <c r="S71" s="1"/>
      <c r="T71" s="1"/>
      <c r="U71" s="1"/>
      <c r="V71" s="1"/>
      <c r="W71" s="1"/>
      <c r="X71" s="1"/>
      <c r="Y71" s="1"/>
    </row>
    <row r="72" spans="1:25" ht="33.75" customHeight="1">
      <c r="A72" s="1"/>
      <c r="B72" s="15"/>
      <c r="C72" s="9"/>
      <c r="D72" s="3"/>
      <c r="E72" s="3"/>
      <c r="F72" s="1"/>
      <c r="G72" s="1"/>
      <c r="H72" s="1"/>
      <c r="I72" s="1"/>
      <c r="J72" s="1"/>
      <c r="K72" s="1"/>
      <c r="L72" s="1"/>
      <c r="M72" s="1"/>
      <c r="N72" s="1"/>
      <c r="O72" s="1"/>
      <c r="P72" s="1"/>
      <c r="Q72" s="1"/>
      <c r="R72" s="1"/>
      <c r="S72" s="1"/>
      <c r="T72" s="1"/>
      <c r="U72" s="1"/>
      <c r="V72" s="1"/>
      <c r="W72" s="1"/>
      <c r="X72" s="1"/>
      <c r="Y72" s="1"/>
    </row>
    <row r="73" spans="1:25" ht="33.75" customHeight="1">
      <c r="A73" s="1"/>
      <c r="B73" s="15"/>
      <c r="C73" s="9"/>
      <c r="D73" s="3"/>
      <c r="E73" s="3"/>
      <c r="F73" s="1"/>
      <c r="G73" s="1"/>
      <c r="H73" s="1"/>
      <c r="I73" s="1"/>
      <c r="J73" s="1"/>
      <c r="K73" s="1"/>
      <c r="L73" s="1"/>
      <c r="M73" s="1"/>
      <c r="N73" s="1"/>
      <c r="O73" s="1"/>
      <c r="P73" s="1"/>
      <c r="Q73" s="1"/>
      <c r="R73" s="1"/>
      <c r="S73" s="1"/>
      <c r="T73" s="1"/>
      <c r="U73" s="1"/>
      <c r="V73" s="1"/>
      <c r="W73" s="1"/>
      <c r="X73" s="1"/>
      <c r="Y73" s="1"/>
    </row>
    <row r="74" spans="1:25" ht="33.75" customHeight="1">
      <c r="A74" s="1"/>
      <c r="B74" s="15"/>
      <c r="C74" s="9"/>
      <c r="D74" s="3"/>
      <c r="E74" s="3"/>
      <c r="F74" s="1"/>
      <c r="G74" s="1"/>
      <c r="H74" s="1"/>
      <c r="I74" s="1"/>
      <c r="J74" s="1"/>
      <c r="K74" s="1"/>
      <c r="L74" s="1"/>
      <c r="M74" s="1"/>
      <c r="N74" s="1"/>
      <c r="O74" s="1"/>
      <c r="P74" s="1"/>
      <c r="Q74" s="1"/>
      <c r="R74" s="1"/>
      <c r="S74" s="1"/>
      <c r="T74" s="1"/>
      <c r="U74" s="1"/>
      <c r="V74" s="1"/>
      <c r="W74" s="1"/>
      <c r="X74" s="1"/>
      <c r="Y74" s="1"/>
    </row>
    <row r="75" spans="1:25" ht="33.75" customHeight="1">
      <c r="A75" s="1"/>
      <c r="B75" s="15"/>
      <c r="C75" s="9"/>
      <c r="D75" s="3"/>
      <c r="E75" s="3"/>
      <c r="F75" s="1"/>
      <c r="G75" s="1"/>
      <c r="H75" s="1"/>
      <c r="I75" s="1"/>
      <c r="J75" s="1"/>
      <c r="K75" s="1"/>
      <c r="L75" s="1"/>
      <c r="M75" s="1"/>
      <c r="N75" s="1"/>
      <c r="O75" s="1"/>
      <c r="P75" s="1"/>
      <c r="Q75" s="1"/>
      <c r="R75" s="1"/>
      <c r="S75" s="1"/>
      <c r="T75" s="1"/>
      <c r="U75" s="1"/>
      <c r="V75" s="1"/>
      <c r="W75" s="1"/>
      <c r="X75" s="1"/>
      <c r="Y75" s="1"/>
    </row>
    <row r="76" spans="1:25" ht="33.75" customHeight="1">
      <c r="A76" s="1"/>
      <c r="B76" s="15"/>
      <c r="C76" s="9"/>
      <c r="D76" s="3"/>
      <c r="E76" s="3"/>
      <c r="F76" s="1"/>
      <c r="G76" s="1"/>
      <c r="H76" s="1"/>
      <c r="I76" s="1"/>
      <c r="J76" s="1"/>
      <c r="K76" s="1"/>
      <c r="L76" s="1"/>
      <c r="M76" s="1"/>
      <c r="N76" s="1"/>
      <c r="O76" s="1"/>
      <c r="P76" s="1"/>
      <c r="Q76" s="1"/>
      <c r="R76" s="1"/>
      <c r="S76" s="1"/>
      <c r="T76" s="1"/>
      <c r="U76" s="1"/>
      <c r="V76" s="1"/>
      <c r="W76" s="1"/>
      <c r="X76" s="1"/>
      <c r="Y76" s="1"/>
    </row>
    <row r="77" spans="1:25" ht="33.75" customHeight="1">
      <c r="A77" s="1"/>
      <c r="B77" s="15"/>
      <c r="C77" s="9"/>
      <c r="D77" s="3"/>
      <c r="E77" s="3"/>
      <c r="F77" s="1"/>
      <c r="G77" s="1"/>
      <c r="H77" s="1"/>
      <c r="I77" s="1"/>
      <c r="J77" s="1"/>
      <c r="K77" s="1"/>
      <c r="L77" s="1"/>
      <c r="M77" s="1"/>
      <c r="N77" s="1"/>
      <c r="O77" s="1"/>
      <c r="P77" s="1"/>
      <c r="Q77" s="1"/>
      <c r="R77" s="1"/>
      <c r="S77" s="1"/>
      <c r="T77" s="1"/>
      <c r="U77" s="1"/>
      <c r="V77" s="1"/>
      <c r="W77" s="1"/>
      <c r="X77" s="1"/>
      <c r="Y77" s="1"/>
    </row>
    <row r="78" spans="1:25" ht="33.75" customHeight="1">
      <c r="A78" s="1"/>
      <c r="B78" s="15"/>
      <c r="C78" s="9"/>
      <c r="D78" s="3"/>
      <c r="E78" s="3"/>
      <c r="F78" s="1"/>
      <c r="G78" s="1"/>
      <c r="H78" s="1"/>
      <c r="I78" s="1"/>
      <c r="J78" s="1"/>
      <c r="K78" s="1"/>
      <c r="L78" s="1"/>
      <c r="M78" s="1"/>
      <c r="N78" s="1"/>
      <c r="O78" s="1"/>
      <c r="P78" s="1"/>
      <c r="Q78" s="1"/>
      <c r="R78" s="1"/>
      <c r="S78" s="1"/>
      <c r="T78" s="1"/>
      <c r="U78" s="1"/>
      <c r="V78" s="1"/>
      <c r="W78" s="1"/>
      <c r="X78" s="1"/>
      <c r="Y78" s="1"/>
    </row>
    <row r="79" spans="1:25" ht="33.75" customHeight="1">
      <c r="A79" s="1"/>
      <c r="B79" s="15"/>
      <c r="C79" s="9"/>
      <c r="D79" s="3"/>
      <c r="E79" s="3"/>
      <c r="F79" s="1"/>
      <c r="G79" s="1"/>
      <c r="H79" s="1"/>
      <c r="I79" s="1"/>
      <c r="J79" s="1"/>
      <c r="K79" s="1"/>
      <c r="L79" s="1"/>
      <c r="M79" s="1"/>
      <c r="N79" s="1"/>
      <c r="O79" s="1"/>
      <c r="P79" s="1"/>
      <c r="Q79" s="1"/>
      <c r="R79" s="1"/>
      <c r="S79" s="1"/>
      <c r="T79" s="1"/>
      <c r="U79" s="1"/>
      <c r="V79" s="1"/>
      <c r="W79" s="1"/>
      <c r="X79" s="1"/>
      <c r="Y79" s="1"/>
    </row>
    <row r="80" spans="1:25" ht="33.75" customHeight="1">
      <c r="A80" s="1"/>
      <c r="B80" s="15"/>
      <c r="C80" s="9"/>
      <c r="D80" s="3"/>
      <c r="E80" s="3"/>
      <c r="F80" s="1"/>
      <c r="G80" s="1"/>
      <c r="H80" s="1"/>
      <c r="I80" s="1"/>
      <c r="J80" s="1"/>
      <c r="K80" s="1"/>
      <c r="L80" s="1"/>
      <c r="M80" s="1"/>
      <c r="N80" s="1"/>
      <c r="O80" s="1"/>
      <c r="P80" s="1"/>
      <c r="Q80" s="1"/>
      <c r="R80" s="1"/>
      <c r="S80" s="1"/>
      <c r="T80" s="1"/>
      <c r="U80" s="1"/>
      <c r="V80" s="1"/>
      <c r="W80" s="1"/>
      <c r="X80" s="1"/>
      <c r="Y80" s="1"/>
    </row>
    <row r="81" spans="1:25" ht="33.75" customHeight="1">
      <c r="A81" s="1"/>
      <c r="B81" s="15"/>
      <c r="C81" s="9"/>
      <c r="D81" s="3"/>
      <c r="E81" s="3"/>
      <c r="F81" s="1"/>
      <c r="G81" s="1"/>
      <c r="H81" s="1"/>
      <c r="I81" s="1"/>
      <c r="J81" s="1"/>
      <c r="K81" s="1"/>
      <c r="L81" s="1"/>
      <c r="M81" s="1"/>
      <c r="N81" s="1"/>
      <c r="O81" s="1"/>
      <c r="P81" s="1"/>
      <c r="Q81" s="1"/>
      <c r="R81" s="1"/>
      <c r="S81" s="1"/>
      <c r="T81" s="1"/>
      <c r="U81" s="1"/>
      <c r="V81" s="1"/>
      <c r="W81" s="1"/>
      <c r="X81" s="1"/>
      <c r="Y81" s="1"/>
    </row>
    <row r="82" spans="1:25" ht="33.75" customHeight="1">
      <c r="A82" s="1"/>
      <c r="B82" s="15"/>
      <c r="C82" s="9"/>
      <c r="D82" s="3"/>
      <c r="E82" s="3"/>
      <c r="F82" s="1"/>
      <c r="G82" s="1"/>
      <c r="H82" s="1"/>
      <c r="I82" s="1"/>
      <c r="J82" s="1"/>
      <c r="K82" s="1"/>
      <c r="L82" s="1"/>
      <c r="M82" s="1"/>
      <c r="N82" s="1"/>
      <c r="O82" s="1"/>
      <c r="P82" s="1"/>
      <c r="Q82" s="1"/>
      <c r="R82" s="1"/>
      <c r="S82" s="1"/>
      <c r="T82" s="1"/>
      <c r="U82" s="1"/>
      <c r="V82" s="1"/>
      <c r="W82" s="1"/>
      <c r="X82" s="1"/>
      <c r="Y82" s="1"/>
    </row>
    <row r="83" spans="1:25" ht="33.75" customHeight="1">
      <c r="A83" s="1"/>
      <c r="B83" s="15"/>
      <c r="C83" s="9"/>
      <c r="D83" s="3"/>
      <c r="E83" s="3"/>
      <c r="F83" s="1"/>
      <c r="G83" s="1"/>
      <c r="H83" s="1"/>
      <c r="I83" s="1"/>
      <c r="J83" s="1"/>
      <c r="K83" s="1"/>
      <c r="L83" s="1"/>
      <c r="M83" s="1"/>
      <c r="N83" s="1"/>
      <c r="O83" s="1"/>
      <c r="P83" s="1"/>
      <c r="Q83" s="1"/>
      <c r="R83" s="1"/>
      <c r="S83" s="1"/>
      <c r="T83" s="1"/>
      <c r="U83" s="1"/>
      <c r="V83" s="1"/>
      <c r="W83" s="1"/>
      <c r="X83" s="1"/>
      <c r="Y83" s="1"/>
    </row>
    <row r="84" spans="1:25" ht="33.75" customHeight="1">
      <c r="A84" s="1"/>
      <c r="B84" s="15"/>
      <c r="C84" s="9"/>
      <c r="D84" s="3"/>
      <c r="E84" s="3"/>
      <c r="F84" s="1"/>
      <c r="G84" s="1"/>
      <c r="H84" s="1"/>
      <c r="I84" s="1"/>
      <c r="J84" s="1"/>
      <c r="K84" s="1"/>
      <c r="L84" s="1"/>
      <c r="M84" s="1"/>
      <c r="N84" s="1"/>
      <c r="O84" s="1"/>
      <c r="P84" s="1"/>
      <c r="Q84" s="1"/>
      <c r="R84" s="1"/>
      <c r="S84" s="1"/>
      <c r="T84" s="1"/>
      <c r="U84" s="1"/>
      <c r="V84" s="1"/>
      <c r="W84" s="1"/>
      <c r="X84" s="1"/>
      <c r="Y84" s="1"/>
    </row>
    <row r="85" spans="1:25" ht="33.75" customHeight="1">
      <c r="A85" s="1"/>
      <c r="B85" s="15"/>
      <c r="C85" s="9"/>
      <c r="D85" s="3"/>
      <c r="E85" s="3"/>
      <c r="F85" s="1"/>
      <c r="G85" s="1"/>
      <c r="H85" s="1"/>
      <c r="I85" s="1"/>
      <c r="J85" s="1"/>
      <c r="K85" s="1"/>
      <c r="L85" s="1"/>
      <c r="M85" s="1"/>
      <c r="N85" s="1"/>
      <c r="O85" s="1"/>
      <c r="P85" s="1"/>
      <c r="Q85" s="1"/>
      <c r="R85" s="1"/>
      <c r="S85" s="1"/>
      <c r="T85" s="1"/>
      <c r="U85" s="1"/>
      <c r="V85" s="1"/>
      <c r="W85" s="1"/>
      <c r="X85" s="1"/>
      <c r="Y85" s="1"/>
    </row>
    <row r="86" spans="1:25" ht="33.75" customHeight="1">
      <c r="A86" s="1"/>
      <c r="B86" s="15"/>
      <c r="C86" s="9"/>
      <c r="D86" s="3"/>
      <c r="E86" s="3"/>
      <c r="F86" s="1"/>
      <c r="G86" s="1"/>
      <c r="H86" s="1"/>
      <c r="I86" s="1"/>
      <c r="J86" s="1"/>
      <c r="K86" s="1"/>
      <c r="L86" s="1"/>
      <c r="M86" s="1"/>
      <c r="N86" s="1"/>
      <c r="O86" s="1"/>
      <c r="P86" s="1"/>
      <c r="Q86" s="1"/>
      <c r="R86" s="1"/>
      <c r="S86" s="1"/>
      <c r="T86" s="1"/>
      <c r="U86" s="1"/>
      <c r="V86" s="1"/>
      <c r="W86" s="1"/>
      <c r="X86" s="1"/>
      <c r="Y86" s="1"/>
    </row>
    <row r="87" spans="1:25" ht="33.75" customHeight="1">
      <c r="A87" s="1"/>
      <c r="B87" s="15"/>
      <c r="C87" s="9"/>
      <c r="D87" s="3"/>
      <c r="E87" s="3"/>
      <c r="F87" s="1"/>
      <c r="G87" s="1"/>
      <c r="H87" s="1"/>
      <c r="I87" s="1"/>
      <c r="J87" s="1"/>
      <c r="K87" s="1"/>
      <c r="L87" s="1"/>
      <c r="M87" s="1"/>
      <c r="N87" s="1"/>
      <c r="O87" s="1"/>
      <c r="P87" s="1"/>
      <c r="Q87" s="1"/>
      <c r="R87" s="1"/>
      <c r="S87" s="1"/>
      <c r="T87" s="1"/>
      <c r="U87" s="1"/>
      <c r="V87" s="1"/>
      <c r="W87" s="1"/>
      <c r="X87" s="1"/>
      <c r="Y87" s="1"/>
    </row>
    <row r="88" spans="1:25" ht="33.75" customHeight="1">
      <c r="A88" s="1"/>
      <c r="B88" s="15"/>
      <c r="C88" s="9"/>
      <c r="D88" s="3"/>
      <c r="E88" s="3"/>
      <c r="F88" s="1"/>
      <c r="G88" s="1"/>
      <c r="H88" s="1"/>
      <c r="I88" s="1"/>
      <c r="J88" s="1"/>
      <c r="K88" s="1"/>
      <c r="L88" s="1"/>
      <c r="M88" s="1"/>
      <c r="N88" s="1"/>
      <c r="O88" s="1"/>
      <c r="P88" s="1"/>
      <c r="Q88" s="1"/>
      <c r="R88" s="1"/>
      <c r="S88" s="1"/>
      <c r="T88" s="1"/>
      <c r="U88" s="1"/>
      <c r="V88" s="1"/>
      <c r="W88" s="1"/>
      <c r="X88" s="1"/>
      <c r="Y88" s="1"/>
    </row>
    <row r="89" spans="1:25" ht="33.75" customHeight="1">
      <c r="A89" s="1"/>
      <c r="B89" s="15"/>
      <c r="C89" s="9"/>
      <c r="D89" s="3"/>
      <c r="E89" s="3"/>
      <c r="F89" s="1"/>
      <c r="G89" s="1"/>
      <c r="H89" s="1"/>
      <c r="I89" s="1"/>
      <c r="J89" s="1"/>
      <c r="K89" s="1"/>
      <c r="L89" s="1"/>
      <c r="M89" s="1"/>
      <c r="N89" s="1"/>
      <c r="O89" s="1"/>
      <c r="P89" s="1"/>
      <c r="Q89" s="1"/>
      <c r="R89" s="1"/>
      <c r="S89" s="1"/>
      <c r="T89" s="1"/>
      <c r="U89" s="1"/>
      <c r="V89" s="1"/>
      <c r="W89" s="1"/>
      <c r="X89" s="1"/>
      <c r="Y89" s="1"/>
    </row>
    <row r="90" spans="1:25" ht="33.75" customHeight="1">
      <c r="A90" s="1"/>
      <c r="B90" s="15"/>
      <c r="C90" s="9"/>
      <c r="D90" s="3"/>
      <c r="E90" s="3"/>
      <c r="F90" s="1"/>
      <c r="G90" s="1"/>
      <c r="H90" s="1"/>
      <c r="I90" s="1"/>
      <c r="J90" s="1"/>
      <c r="K90" s="1"/>
      <c r="L90" s="1"/>
      <c r="M90" s="1"/>
      <c r="N90" s="1"/>
      <c r="O90" s="1"/>
      <c r="P90" s="1"/>
      <c r="Q90" s="1"/>
      <c r="R90" s="1"/>
      <c r="S90" s="1"/>
      <c r="T90" s="1"/>
      <c r="U90" s="1"/>
      <c r="V90" s="1"/>
      <c r="W90" s="1"/>
      <c r="X90" s="1"/>
      <c r="Y90" s="1"/>
    </row>
    <row r="91" spans="1:25" ht="33.75" customHeight="1">
      <c r="A91" s="1"/>
      <c r="B91" s="15"/>
      <c r="C91" s="9"/>
      <c r="D91" s="3"/>
      <c r="E91" s="3"/>
      <c r="F91" s="1"/>
      <c r="G91" s="1"/>
      <c r="H91" s="1"/>
      <c r="I91" s="1"/>
      <c r="J91" s="1"/>
      <c r="K91" s="1"/>
      <c r="L91" s="1"/>
      <c r="M91" s="1"/>
      <c r="N91" s="1"/>
      <c r="O91" s="1"/>
      <c r="P91" s="1"/>
      <c r="Q91" s="1"/>
      <c r="R91" s="1"/>
      <c r="S91" s="1"/>
      <c r="T91" s="1"/>
      <c r="U91" s="1"/>
      <c r="V91" s="1"/>
      <c r="W91" s="1"/>
      <c r="X91" s="1"/>
      <c r="Y91" s="1"/>
    </row>
    <row r="92" spans="1:25" ht="33.75" customHeight="1">
      <c r="A92" s="1"/>
      <c r="B92" s="15"/>
      <c r="C92" s="9"/>
      <c r="D92" s="3"/>
      <c r="E92" s="3"/>
      <c r="F92" s="1"/>
      <c r="G92" s="1"/>
      <c r="H92" s="1"/>
      <c r="I92" s="1"/>
      <c r="J92" s="1"/>
      <c r="K92" s="1"/>
      <c r="L92" s="1"/>
      <c r="M92" s="1"/>
      <c r="N92" s="1"/>
      <c r="O92" s="1"/>
      <c r="P92" s="1"/>
      <c r="Q92" s="1"/>
      <c r="R92" s="1"/>
      <c r="S92" s="1"/>
      <c r="T92" s="1"/>
      <c r="U92" s="1"/>
      <c r="V92" s="1"/>
      <c r="W92" s="1"/>
      <c r="X92" s="1"/>
      <c r="Y92" s="1"/>
    </row>
    <row r="93" spans="1:25" ht="33.75" customHeight="1">
      <c r="A93" s="1"/>
      <c r="B93" s="15"/>
      <c r="C93" s="9"/>
      <c r="D93" s="3"/>
      <c r="E93" s="3"/>
      <c r="F93" s="1"/>
      <c r="G93" s="1"/>
      <c r="H93" s="1"/>
      <c r="I93" s="1"/>
      <c r="J93" s="1"/>
      <c r="K93" s="1"/>
      <c r="L93" s="1"/>
      <c r="M93" s="1"/>
      <c r="N93" s="1"/>
      <c r="O93" s="1"/>
      <c r="P93" s="1"/>
      <c r="Q93" s="1"/>
      <c r="R93" s="1"/>
      <c r="S93" s="1"/>
      <c r="T93" s="1"/>
      <c r="U93" s="1"/>
      <c r="V93" s="1"/>
      <c r="W93" s="1"/>
      <c r="X93" s="1"/>
      <c r="Y93" s="1"/>
    </row>
    <row r="94" spans="1:25" ht="33.75" customHeight="1">
      <c r="A94" s="1"/>
      <c r="B94" s="15"/>
      <c r="C94" s="9"/>
      <c r="D94" s="3"/>
      <c r="E94" s="3"/>
      <c r="F94" s="1"/>
      <c r="G94" s="1"/>
      <c r="H94" s="1"/>
      <c r="I94" s="1"/>
      <c r="J94" s="1"/>
      <c r="K94" s="1"/>
      <c r="L94" s="1"/>
      <c r="M94" s="1"/>
      <c r="N94" s="1"/>
      <c r="O94" s="1"/>
      <c r="P94" s="1"/>
      <c r="Q94" s="1"/>
      <c r="R94" s="1"/>
      <c r="S94" s="1"/>
      <c r="T94" s="1"/>
      <c r="U94" s="1"/>
      <c r="V94" s="1"/>
      <c r="W94" s="1"/>
      <c r="X94" s="1"/>
      <c r="Y94" s="1"/>
    </row>
    <row r="95" spans="1:25" ht="33.75" customHeight="1">
      <c r="A95" s="1"/>
      <c r="B95" s="15"/>
      <c r="C95" s="9"/>
      <c r="D95" s="3"/>
      <c r="E95" s="3"/>
      <c r="F95" s="1"/>
      <c r="G95" s="1"/>
      <c r="H95" s="1"/>
      <c r="I95" s="1"/>
      <c r="J95" s="1"/>
      <c r="K95" s="1"/>
      <c r="L95" s="1"/>
      <c r="M95" s="1"/>
      <c r="N95" s="1"/>
      <c r="O95" s="1"/>
      <c r="P95" s="1"/>
      <c r="Q95" s="1"/>
      <c r="R95" s="1"/>
      <c r="S95" s="1"/>
      <c r="T95" s="1"/>
      <c r="U95" s="1"/>
      <c r="V95" s="1"/>
      <c r="W95" s="1"/>
      <c r="X95" s="1"/>
      <c r="Y95" s="1"/>
    </row>
    <row r="96" spans="1:25" ht="33.75" customHeight="1">
      <c r="A96" s="1"/>
      <c r="B96" s="15"/>
      <c r="C96" s="9"/>
      <c r="D96" s="3"/>
      <c r="E96" s="3"/>
      <c r="F96" s="1"/>
      <c r="G96" s="1"/>
      <c r="H96" s="1"/>
      <c r="I96" s="1"/>
      <c r="J96" s="1"/>
      <c r="K96" s="1"/>
      <c r="L96" s="1"/>
      <c r="M96" s="1"/>
      <c r="N96" s="1"/>
      <c r="O96" s="1"/>
      <c r="P96" s="1"/>
      <c r="Q96" s="1"/>
      <c r="R96" s="1"/>
      <c r="S96" s="1"/>
      <c r="T96" s="1"/>
      <c r="U96" s="1"/>
      <c r="V96" s="1"/>
      <c r="W96" s="1"/>
      <c r="X96" s="1"/>
      <c r="Y96" s="1"/>
    </row>
    <row r="97" spans="1:25" ht="33.75" customHeight="1">
      <c r="A97" s="1"/>
      <c r="B97" s="15"/>
      <c r="C97" s="9"/>
      <c r="D97" s="3"/>
      <c r="E97" s="3"/>
      <c r="F97" s="1"/>
      <c r="G97" s="1"/>
      <c r="H97" s="1"/>
      <c r="I97" s="1"/>
      <c r="J97" s="1"/>
      <c r="K97" s="1"/>
      <c r="L97" s="1"/>
      <c r="M97" s="1"/>
      <c r="N97" s="1"/>
      <c r="O97" s="1"/>
      <c r="P97" s="1"/>
      <c r="Q97" s="1"/>
      <c r="R97" s="1"/>
      <c r="S97" s="1"/>
      <c r="T97" s="1"/>
      <c r="U97" s="1"/>
      <c r="V97" s="1"/>
      <c r="W97" s="1"/>
      <c r="X97" s="1"/>
      <c r="Y97" s="1"/>
    </row>
    <row r="98" spans="1:25" ht="33.75" customHeight="1">
      <c r="A98" s="1"/>
      <c r="B98" s="15"/>
      <c r="C98" s="9"/>
      <c r="D98" s="3"/>
      <c r="E98" s="3"/>
      <c r="F98" s="1"/>
      <c r="G98" s="1"/>
      <c r="H98" s="1"/>
      <c r="I98" s="1"/>
      <c r="J98" s="1"/>
      <c r="K98" s="1"/>
      <c r="L98" s="1"/>
      <c r="M98" s="1"/>
      <c r="N98" s="1"/>
      <c r="O98" s="1"/>
      <c r="P98" s="1"/>
      <c r="Q98" s="1"/>
      <c r="R98" s="1"/>
      <c r="S98" s="1"/>
      <c r="T98" s="1"/>
      <c r="U98" s="1"/>
      <c r="V98" s="1"/>
      <c r="W98" s="1"/>
      <c r="X98" s="1"/>
      <c r="Y98" s="1"/>
    </row>
    <row r="99" spans="1:25" ht="33.75" customHeight="1">
      <c r="A99" s="1"/>
      <c r="B99" s="15"/>
      <c r="C99" s="9"/>
      <c r="D99" s="3"/>
      <c r="E99" s="3"/>
      <c r="F99" s="1"/>
      <c r="G99" s="1"/>
      <c r="H99" s="1"/>
      <c r="I99" s="1"/>
      <c r="J99" s="1"/>
      <c r="K99" s="1"/>
      <c r="L99" s="1"/>
      <c r="M99" s="1"/>
      <c r="N99" s="1"/>
      <c r="O99" s="1"/>
      <c r="P99" s="1"/>
      <c r="Q99" s="1"/>
      <c r="R99" s="1"/>
      <c r="S99" s="1"/>
      <c r="T99" s="1"/>
      <c r="U99" s="1"/>
      <c r="V99" s="1"/>
      <c r="W99" s="1"/>
      <c r="X99" s="1"/>
      <c r="Y99" s="1"/>
    </row>
    <row r="100" spans="1:25" ht="33.75" customHeight="1">
      <c r="A100" s="1"/>
      <c r="B100" s="15"/>
      <c r="C100" s="9"/>
      <c r="D100" s="3"/>
      <c r="E100" s="3"/>
      <c r="F100" s="1"/>
      <c r="G100" s="1"/>
      <c r="H100" s="1"/>
      <c r="I100" s="1"/>
      <c r="J100" s="1"/>
      <c r="K100" s="1"/>
      <c r="L100" s="1"/>
      <c r="M100" s="1"/>
      <c r="N100" s="1"/>
      <c r="O100" s="1"/>
      <c r="P100" s="1"/>
      <c r="Q100" s="1"/>
      <c r="R100" s="1"/>
      <c r="S100" s="1"/>
      <c r="T100" s="1"/>
      <c r="U100" s="1"/>
      <c r="V100" s="1"/>
      <c r="W100" s="1"/>
      <c r="X100" s="1"/>
      <c r="Y100" s="1"/>
    </row>
    <row r="101" spans="1:25" ht="33.75" customHeight="1">
      <c r="A101" s="1"/>
      <c r="B101" s="15"/>
      <c r="C101" s="9"/>
      <c r="D101" s="3"/>
      <c r="E101" s="3"/>
      <c r="F101" s="1"/>
      <c r="G101" s="1"/>
      <c r="H101" s="1"/>
      <c r="I101" s="1"/>
      <c r="J101" s="1"/>
      <c r="K101" s="1"/>
      <c r="L101" s="1"/>
      <c r="M101" s="1"/>
      <c r="N101" s="1"/>
      <c r="O101" s="1"/>
      <c r="P101" s="1"/>
      <c r="Q101" s="1"/>
      <c r="R101" s="1"/>
      <c r="S101" s="1"/>
      <c r="T101" s="1"/>
      <c r="U101" s="1"/>
      <c r="V101" s="1"/>
      <c r="W101" s="1"/>
      <c r="X101" s="1"/>
      <c r="Y101" s="1"/>
    </row>
    <row r="102" spans="1:25" ht="33.75" customHeight="1">
      <c r="A102" s="1"/>
      <c r="B102" s="15"/>
      <c r="C102" s="9"/>
      <c r="D102" s="3"/>
      <c r="E102" s="3"/>
      <c r="F102" s="1"/>
      <c r="G102" s="1"/>
      <c r="H102" s="1"/>
      <c r="I102" s="1"/>
      <c r="J102" s="1"/>
      <c r="K102" s="1"/>
      <c r="L102" s="1"/>
      <c r="M102" s="1"/>
      <c r="N102" s="1"/>
      <c r="O102" s="1"/>
      <c r="P102" s="1"/>
      <c r="Q102" s="1"/>
      <c r="R102" s="1"/>
      <c r="S102" s="1"/>
      <c r="T102" s="1"/>
      <c r="U102" s="1"/>
      <c r="V102" s="1"/>
      <c r="W102" s="1"/>
      <c r="X102" s="1"/>
      <c r="Y102" s="1"/>
    </row>
    <row r="103" spans="1:25" ht="33.75" customHeight="1">
      <c r="A103" s="1"/>
      <c r="B103" s="15"/>
      <c r="C103" s="9"/>
      <c r="D103" s="3"/>
      <c r="E103" s="3"/>
      <c r="F103" s="1"/>
      <c r="G103" s="1"/>
      <c r="H103" s="1"/>
      <c r="I103" s="1"/>
      <c r="J103" s="1"/>
      <c r="K103" s="1"/>
      <c r="L103" s="1"/>
      <c r="M103" s="1"/>
      <c r="N103" s="1"/>
      <c r="O103" s="1"/>
      <c r="P103" s="1"/>
      <c r="Q103" s="1"/>
      <c r="R103" s="1"/>
      <c r="S103" s="1"/>
      <c r="T103" s="1"/>
      <c r="U103" s="1"/>
      <c r="V103" s="1"/>
      <c r="W103" s="1"/>
      <c r="X103" s="1"/>
      <c r="Y103" s="1"/>
    </row>
    <row r="104" spans="1:25" ht="33.75" customHeight="1">
      <c r="A104" s="1"/>
      <c r="B104" s="15"/>
      <c r="C104" s="9"/>
      <c r="D104" s="3"/>
      <c r="E104" s="3"/>
      <c r="F104" s="1"/>
      <c r="G104" s="1"/>
      <c r="H104" s="1"/>
      <c r="I104" s="1"/>
      <c r="J104" s="1"/>
      <c r="K104" s="1"/>
      <c r="L104" s="1"/>
      <c r="M104" s="1"/>
      <c r="N104" s="1"/>
      <c r="O104" s="1"/>
      <c r="P104" s="1"/>
      <c r="Q104" s="1"/>
      <c r="R104" s="1"/>
      <c r="S104" s="1"/>
      <c r="T104" s="1"/>
      <c r="U104" s="1"/>
      <c r="V104" s="1"/>
      <c r="W104" s="1"/>
      <c r="X104" s="1"/>
      <c r="Y104" s="1"/>
    </row>
    <row r="105" spans="1:25" ht="33.75" customHeight="1">
      <c r="A105" s="1"/>
      <c r="B105" s="15"/>
      <c r="C105" s="9"/>
      <c r="D105" s="3"/>
      <c r="E105" s="3"/>
      <c r="F105" s="1"/>
      <c r="G105" s="1"/>
      <c r="H105" s="1"/>
      <c r="I105" s="1"/>
      <c r="J105" s="1"/>
      <c r="K105" s="1"/>
      <c r="L105" s="1"/>
      <c r="M105" s="1"/>
      <c r="N105" s="1"/>
      <c r="O105" s="1"/>
      <c r="P105" s="1"/>
      <c r="Q105" s="1"/>
      <c r="R105" s="1"/>
      <c r="S105" s="1"/>
      <c r="T105" s="1"/>
      <c r="U105" s="1"/>
      <c r="V105" s="1"/>
      <c r="W105" s="1"/>
      <c r="X105" s="1"/>
      <c r="Y105" s="1"/>
    </row>
    <row r="106" spans="1:25" ht="33.75" customHeight="1">
      <c r="A106" s="1"/>
      <c r="B106" s="15"/>
      <c r="C106" s="9"/>
      <c r="D106" s="3"/>
      <c r="E106" s="3"/>
      <c r="F106" s="1"/>
      <c r="G106" s="1"/>
      <c r="H106" s="1"/>
      <c r="I106" s="1"/>
      <c r="J106" s="1"/>
      <c r="K106" s="1"/>
      <c r="L106" s="1"/>
      <c r="M106" s="1"/>
      <c r="N106" s="1"/>
      <c r="O106" s="1"/>
      <c r="P106" s="1"/>
      <c r="Q106" s="1"/>
      <c r="R106" s="1"/>
      <c r="S106" s="1"/>
      <c r="T106" s="1"/>
      <c r="U106" s="1"/>
      <c r="V106" s="1"/>
      <c r="W106" s="1"/>
      <c r="X106" s="1"/>
      <c r="Y106" s="1"/>
    </row>
    <row r="107" spans="1:25" ht="33.75" customHeight="1">
      <c r="A107" s="1"/>
      <c r="B107" s="15"/>
      <c r="C107" s="9"/>
      <c r="D107" s="3"/>
      <c r="E107" s="3"/>
      <c r="F107" s="1"/>
      <c r="G107" s="1"/>
      <c r="H107" s="1"/>
      <c r="I107" s="1"/>
      <c r="J107" s="1"/>
      <c r="K107" s="1"/>
      <c r="L107" s="1"/>
      <c r="M107" s="1"/>
      <c r="N107" s="1"/>
      <c r="O107" s="1"/>
      <c r="P107" s="1"/>
      <c r="Q107" s="1"/>
      <c r="R107" s="1"/>
      <c r="S107" s="1"/>
      <c r="T107" s="1"/>
      <c r="U107" s="1"/>
      <c r="V107" s="1"/>
      <c r="W107" s="1"/>
      <c r="X107" s="1"/>
      <c r="Y107" s="1"/>
    </row>
    <row r="108" spans="1:25" ht="33.75" customHeight="1">
      <c r="A108" s="1"/>
      <c r="B108" s="15"/>
      <c r="C108" s="9"/>
      <c r="D108" s="3"/>
      <c r="E108" s="3"/>
      <c r="F108" s="1"/>
      <c r="G108" s="1"/>
      <c r="H108" s="1"/>
      <c r="I108" s="1"/>
      <c r="J108" s="1"/>
      <c r="K108" s="1"/>
      <c r="L108" s="1"/>
      <c r="M108" s="1"/>
      <c r="N108" s="1"/>
      <c r="O108" s="1"/>
      <c r="P108" s="1"/>
      <c r="Q108" s="1"/>
      <c r="R108" s="1"/>
      <c r="S108" s="1"/>
      <c r="T108" s="1"/>
      <c r="U108" s="1"/>
      <c r="V108" s="1"/>
      <c r="W108" s="1"/>
      <c r="X108" s="1"/>
      <c r="Y108" s="1"/>
    </row>
    <row r="109" spans="1:25" ht="33.75" customHeight="1">
      <c r="A109" s="1"/>
      <c r="B109" s="15"/>
      <c r="C109" s="9"/>
      <c r="D109" s="3"/>
      <c r="E109" s="3"/>
      <c r="F109" s="1"/>
      <c r="G109" s="1"/>
      <c r="H109" s="1"/>
      <c r="I109" s="1"/>
      <c r="J109" s="1"/>
      <c r="K109" s="1"/>
      <c r="L109" s="1"/>
      <c r="M109" s="1"/>
      <c r="N109" s="1"/>
      <c r="O109" s="1"/>
      <c r="P109" s="1"/>
      <c r="Q109" s="1"/>
      <c r="R109" s="1"/>
      <c r="S109" s="1"/>
      <c r="T109" s="1"/>
      <c r="U109" s="1"/>
      <c r="V109" s="1"/>
      <c r="W109" s="1"/>
      <c r="X109" s="1"/>
      <c r="Y109" s="1"/>
    </row>
    <row r="110" spans="1:25" ht="33.75" customHeight="1">
      <c r="A110" s="1"/>
      <c r="B110" s="15"/>
      <c r="C110" s="9"/>
      <c r="D110" s="3"/>
      <c r="E110" s="3"/>
      <c r="F110" s="1"/>
      <c r="G110" s="1"/>
      <c r="H110" s="1"/>
      <c r="I110" s="1"/>
      <c r="J110" s="1"/>
      <c r="K110" s="1"/>
      <c r="L110" s="1"/>
      <c r="M110" s="1"/>
      <c r="N110" s="1"/>
      <c r="O110" s="1"/>
      <c r="P110" s="1"/>
      <c r="Q110" s="1"/>
      <c r="R110" s="1"/>
      <c r="S110" s="1"/>
      <c r="T110" s="1"/>
      <c r="U110" s="1"/>
      <c r="V110" s="1"/>
      <c r="W110" s="1"/>
      <c r="X110" s="1"/>
      <c r="Y110" s="1"/>
    </row>
    <row r="111" spans="1:25" ht="33.75" customHeight="1">
      <c r="A111" s="1"/>
      <c r="B111" s="15"/>
      <c r="C111" s="9"/>
      <c r="D111" s="3"/>
      <c r="E111" s="3"/>
      <c r="F111" s="1"/>
      <c r="G111" s="1"/>
      <c r="H111" s="1"/>
      <c r="I111" s="1"/>
      <c r="J111" s="1"/>
      <c r="K111" s="1"/>
      <c r="L111" s="1"/>
      <c r="M111" s="1"/>
      <c r="N111" s="1"/>
      <c r="O111" s="1"/>
      <c r="P111" s="1"/>
      <c r="Q111" s="1"/>
      <c r="R111" s="1"/>
      <c r="S111" s="1"/>
      <c r="T111" s="1"/>
      <c r="U111" s="1"/>
      <c r="V111" s="1"/>
      <c r="W111" s="1"/>
      <c r="X111" s="1"/>
      <c r="Y111" s="1"/>
    </row>
    <row r="112" spans="1:25" ht="33.75" customHeight="1">
      <c r="A112" s="1"/>
      <c r="B112" s="15"/>
      <c r="C112" s="9"/>
      <c r="D112" s="3"/>
      <c r="E112" s="3"/>
      <c r="F112" s="1"/>
      <c r="G112" s="1"/>
      <c r="H112" s="1"/>
      <c r="I112" s="1"/>
      <c r="J112" s="1"/>
      <c r="K112" s="1"/>
      <c r="L112" s="1"/>
      <c r="M112" s="1"/>
      <c r="N112" s="1"/>
      <c r="O112" s="1"/>
      <c r="P112" s="1"/>
      <c r="Q112" s="1"/>
      <c r="R112" s="1"/>
      <c r="S112" s="1"/>
      <c r="T112" s="1"/>
      <c r="U112" s="1"/>
      <c r="V112" s="1"/>
      <c r="W112" s="1"/>
      <c r="X112" s="1"/>
      <c r="Y112" s="1"/>
    </row>
    <row r="113" spans="1:25" ht="33.75" customHeight="1">
      <c r="A113" s="1"/>
      <c r="B113" s="15"/>
      <c r="C113" s="9"/>
      <c r="D113" s="3"/>
      <c r="E113" s="3"/>
      <c r="F113" s="1"/>
      <c r="G113" s="1"/>
      <c r="H113" s="1"/>
      <c r="I113" s="1"/>
      <c r="J113" s="1"/>
      <c r="K113" s="1"/>
      <c r="L113" s="1"/>
      <c r="M113" s="1"/>
      <c r="N113" s="1"/>
      <c r="O113" s="1"/>
      <c r="P113" s="1"/>
      <c r="Q113" s="1"/>
      <c r="R113" s="1"/>
      <c r="S113" s="1"/>
      <c r="T113" s="1"/>
      <c r="U113" s="1"/>
      <c r="V113" s="1"/>
      <c r="W113" s="1"/>
      <c r="X113" s="1"/>
      <c r="Y113" s="1"/>
    </row>
    <row r="114" spans="1:25" ht="33.75" customHeight="1">
      <c r="A114" s="1"/>
      <c r="B114" s="15"/>
      <c r="C114" s="9"/>
      <c r="D114" s="3"/>
      <c r="E114" s="3"/>
      <c r="F114" s="1"/>
      <c r="G114" s="1"/>
      <c r="H114" s="1"/>
      <c r="I114" s="1"/>
      <c r="J114" s="1"/>
      <c r="K114" s="1"/>
      <c r="L114" s="1"/>
      <c r="M114" s="1"/>
      <c r="N114" s="1"/>
      <c r="O114" s="1"/>
      <c r="P114" s="1"/>
      <c r="Q114" s="1"/>
      <c r="R114" s="1"/>
      <c r="S114" s="1"/>
      <c r="T114" s="1"/>
      <c r="U114" s="1"/>
      <c r="V114" s="1"/>
      <c r="W114" s="1"/>
      <c r="X114" s="1"/>
      <c r="Y114" s="1"/>
    </row>
    <row r="115" spans="1:25" ht="33.75" customHeight="1">
      <c r="A115" s="1"/>
      <c r="B115" s="15"/>
      <c r="C115" s="9"/>
      <c r="D115" s="3"/>
      <c r="E115" s="3"/>
      <c r="F115" s="1"/>
      <c r="G115" s="1"/>
      <c r="H115" s="1"/>
      <c r="I115" s="1"/>
      <c r="J115" s="1"/>
      <c r="K115" s="1"/>
      <c r="L115" s="1"/>
      <c r="M115" s="1"/>
      <c r="N115" s="1"/>
      <c r="O115" s="1"/>
      <c r="P115" s="1"/>
      <c r="Q115" s="1"/>
      <c r="R115" s="1"/>
      <c r="S115" s="1"/>
      <c r="T115" s="1"/>
      <c r="U115" s="1"/>
      <c r="V115" s="1"/>
      <c r="W115" s="1"/>
      <c r="X115" s="1"/>
      <c r="Y115" s="1"/>
    </row>
    <row r="116" spans="1:25" ht="33.75" customHeight="1">
      <c r="A116" s="1"/>
      <c r="B116" s="15"/>
      <c r="C116" s="9"/>
      <c r="D116" s="3"/>
      <c r="E116" s="3"/>
      <c r="F116" s="1"/>
      <c r="G116" s="1"/>
      <c r="H116" s="1"/>
      <c r="I116" s="1"/>
      <c r="J116" s="1"/>
      <c r="K116" s="1"/>
      <c r="L116" s="1"/>
      <c r="M116" s="1"/>
      <c r="N116" s="1"/>
      <c r="O116" s="1"/>
      <c r="P116" s="1"/>
      <c r="Q116" s="1"/>
      <c r="R116" s="1"/>
      <c r="S116" s="1"/>
      <c r="T116" s="1"/>
      <c r="U116" s="1"/>
      <c r="V116" s="1"/>
      <c r="W116" s="1"/>
      <c r="X116" s="1"/>
      <c r="Y116" s="1"/>
    </row>
    <row r="117" spans="1:25" ht="33.75" customHeight="1">
      <c r="A117" s="1"/>
      <c r="B117" s="15"/>
      <c r="C117" s="9"/>
      <c r="D117" s="3"/>
      <c r="E117" s="3"/>
      <c r="F117" s="1"/>
      <c r="G117" s="1"/>
      <c r="H117" s="1"/>
      <c r="I117" s="1"/>
      <c r="J117" s="1"/>
      <c r="K117" s="1"/>
      <c r="L117" s="1"/>
      <c r="M117" s="1"/>
      <c r="N117" s="1"/>
      <c r="O117" s="1"/>
      <c r="P117" s="1"/>
      <c r="Q117" s="1"/>
      <c r="R117" s="1"/>
      <c r="S117" s="1"/>
      <c r="T117" s="1"/>
      <c r="U117" s="1"/>
      <c r="V117" s="1"/>
      <c r="W117" s="1"/>
      <c r="X117" s="1"/>
      <c r="Y117" s="1"/>
    </row>
    <row r="118" spans="1:25" ht="33.75" customHeight="1">
      <c r="A118" s="1"/>
      <c r="B118" s="15"/>
      <c r="C118" s="9"/>
      <c r="D118" s="3"/>
      <c r="E118" s="3"/>
      <c r="F118" s="1"/>
      <c r="G118" s="1"/>
      <c r="H118" s="1"/>
      <c r="I118" s="1"/>
      <c r="J118" s="1"/>
      <c r="K118" s="1"/>
      <c r="L118" s="1"/>
      <c r="M118" s="1"/>
      <c r="N118" s="1"/>
      <c r="O118" s="1"/>
      <c r="P118" s="1"/>
      <c r="Q118" s="1"/>
      <c r="R118" s="1"/>
      <c r="S118" s="1"/>
      <c r="T118" s="1"/>
      <c r="U118" s="1"/>
      <c r="V118" s="1"/>
      <c r="W118" s="1"/>
      <c r="X118" s="1"/>
      <c r="Y118" s="1"/>
    </row>
    <row r="119" spans="1:25" ht="33.75" customHeight="1">
      <c r="A119" s="1"/>
      <c r="B119" s="15"/>
      <c r="C119" s="9"/>
      <c r="D119" s="3"/>
      <c r="E119" s="3"/>
      <c r="F119" s="1"/>
      <c r="G119" s="1"/>
      <c r="H119" s="1"/>
      <c r="I119" s="1"/>
      <c r="J119" s="1"/>
      <c r="K119" s="1"/>
      <c r="L119" s="1"/>
      <c r="M119" s="1"/>
      <c r="N119" s="1"/>
      <c r="O119" s="1"/>
      <c r="P119" s="1"/>
      <c r="Q119" s="1"/>
      <c r="R119" s="1"/>
      <c r="S119" s="1"/>
      <c r="T119" s="1"/>
      <c r="U119" s="1"/>
      <c r="V119" s="1"/>
      <c r="W119" s="1"/>
      <c r="X119" s="1"/>
      <c r="Y119" s="1"/>
    </row>
    <row r="120" spans="1:25" ht="33.75" customHeight="1">
      <c r="A120" s="1"/>
      <c r="B120" s="15"/>
      <c r="C120" s="9"/>
      <c r="D120" s="3"/>
      <c r="E120" s="3"/>
      <c r="F120" s="1"/>
      <c r="G120" s="1"/>
      <c r="H120" s="1"/>
      <c r="I120" s="1"/>
      <c r="J120" s="1"/>
      <c r="K120" s="1"/>
      <c r="L120" s="1"/>
      <c r="M120" s="1"/>
      <c r="N120" s="1"/>
      <c r="O120" s="1"/>
      <c r="P120" s="1"/>
      <c r="Q120" s="1"/>
      <c r="R120" s="1"/>
      <c r="S120" s="1"/>
      <c r="T120" s="1"/>
      <c r="U120" s="1"/>
      <c r="V120" s="1"/>
      <c r="W120" s="1"/>
      <c r="X120" s="1"/>
      <c r="Y120" s="1"/>
    </row>
    <row r="121" spans="1:25" ht="33.75" customHeight="1">
      <c r="A121" s="1"/>
      <c r="B121" s="15"/>
      <c r="C121" s="9"/>
      <c r="D121" s="3"/>
      <c r="E121" s="3"/>
      <c r="F121" s="1"/>
      <c r="G121" s="1"/>
      <c r="H121" s="1"/>
      <c r="I121" s="1"/>
      <c r="J121" s="1"/>
      <c r="K121" s="1"/>
      <c r="L121" s="1"/>
      <c r="M121" s="1"/>
      <c r="N121" s="1"/>
      <c r="O121" s="1"/>
      <c r="P121" s="1"/>
      <c r="Q121" s="1"/>
      <c r="R121" s="1"/>
      <c r="S121" s="1"/>
      <c r="T121" s="1"/>
      <c r="U121" s="1"/>
      <c r="V121" s="1"/>
      <c r="W121" s="1"/>
      <c r="X121" s="1"/>
      <c r="Y121" s="1"/>
    </row>
    <row r="122" spans="1:25" ht="33.75" customHeight="1">
      <c r="A122" s="1"/>
      <c r="B122" s="15"/>
      <c r="C122" s="9"/>
      <c r="D122" s="3"/>
      <c r="E122" s="3"/>
      <c r="F122" s="1"/>
      <c r="G122" s="1"/>
      <c r="H122" s="1"/>
      <c r="I122" s="1"/>
      <c r="J122" s="1"/>
      <c r="K122" s="1"/>
      <c r="L122" s="1"/>
      <c r="M122" s="1"/>
      <c r="N122" s="1"/>
      <c r="O122" s="1"/>
      <c r="P122" s="1"/>
      <c r="Q122" s="1"/>
      <c r="R122" s="1"/>
      <c r="S122" s="1"/>
      <c r="T122" s="1"/>
      <c r="U122" s="1"/>
      <c r="V122" s="1"/>
      <c r="W122" s="1"/>
      <c r="X122" s="1"/>
      <c r="Y122" s="1"/>
    </row>
    <row r="123" spans="1:25" ht="33.75" customHeight="1">
      <c r="A123" s="1"/>
      <c r="B123" s="15"/>
      <c r="C123" s="9"/>
      <c r="D123" s="3"/>
      <c r="E123" s="3"/>
      <c r="F123" s="1"/>
      <c r="G123" s="1"/>
      <c r="H123" s="1"/>
      <c r="I123" s="1"/>
      <c r="J123" s="1"/>
      <c r="K123" s="1"/>
      <c r="L123" s="1"/>
      <c r="M123" s="1"/>
      <c r="N123" s="1"/>
      <c r="O123" s="1"/>
      <c r="P123" s="1"/>
      <c r="Q123" s="1"/>
      <c r="R123" s="1"/>
      <c r="S123" s="1"/>
      <c r="T123" s="1"/>
      <c r="U123" s="1"/>
      <c r="V123" s="1"/>
      <c r="W123" s="1"/>
      <c r="X123" s="1"/>
      <c r="Y123" s="1"/>
    </row>
    <row r="124" spans="1:25" ht="33.75" customHeight="1">
      <c r="A124" s="1"/>
      <c r="B124" s="15"/>
      <c r="C124" s="9"/>
      <c r="D124" s="3"/>
      <c r="E124" s="3"/>
      <c r="F124" s="1"/>
      <c r="G124" s="1"/>
      <c r="H124" s="1"/>
      <c r="I124" s="1"/>
      <c r="J124" s="1"/>
      <c r="K124" s="1"/>
      <c r="L124" s="1"/>
      <c r="M124" s="1"/>
      <c r="N124" s="1"/>
      <c r="O124" s="1"/>
      <c r="P124" s="1"/>
      <c r="Q124" s="1"/>
      <c r="R124" s="1"/>
      <c r="S124" s="1"/>
      <c r="T124" s="1"/>
      <c r="U124" s="1"/>
      <c r="V124" s="1"/>
      <c r="W124" s="1"/>
      <c r="X124" s="1"/>
      <c r="Y124" s="1"/>
    </row>
    <row r="125" spans="1:25" ht="33.75" customHeight="1">
      <c r="A125" s="1"/>
      <c r="B125" s="15"/>
      <c r="C125" s="9"/>
      <c r="D125" s="3"/>
      <c r="E125" s="3"/>
      <c r="F125" s="1"/>
      <c r="G125" s="1"/>
      <c r="H125" s="1"/>
      <c r="I125" s="1"/>
      <c r="J125" s="1"/>
      <c r="K125" s="1"/>
      <c r="L125" s="1"/>
      <c r="M125" s="1"/>
      <c r="N125" s="1"/>
      <c r="O125" s="1"/>
      <c r="P125" s="1"/>
      <c r="Q125" s="1"/>
      <c r="R125" s="1"/>
      <c r="S125" s="1"/>
      <c r="T125" s="1"/>
      <c r="U125" s="1"/>
      <c r="V125" s="1"/>
      <c r="W125" s="1"/>
      <c r="X125" s="1"/>
      <c r="Y125" s="1"/>
    </row>
    <row r="126" spans="1:25" ht="33.75" customHeight="1">
      <c r="A126" s="1"/>
      <c r="B126" s="15"/>
      <c r="C126" s="9"/>
      <c r="D126" s="3"/>
      <c r="E126" s="3"/>
      <c r="F126" s="1"/>
      <c r="G126" s="1"/>
      <c r="H126" s="1"/>
      <c r="I126" s="1"/>
      <c r="J126" s="1"/>
      <c r="K126" s="1"/>
      <c r="L126" s="1"/>
      <c r="M126" s="1"/>
      <c r="N126" s="1"/>
      <c r="O126" s="1"/>
      <c r="P126" s="1"/>
      <c r="Q126" s="1"/>
      <c r="R126" s="1"/>
      <c r="S126" s="1"/>
      <c r="T126" s="1"/>
      <c r="U126" s="1"/>
      <c r="V126" s="1"/>
      <c r="W126" s="1"/>
      <c r="X126" s="1"/>
      <c r="Y126" s="1"/>
    </row>
    <row r="127" spans="1:25" ht="33.75" customHeight="1">
      <c r="A127" s="1"/>
      <c r="B127" s="15"/>
      <c r="C127" s="9"/>
      <c r="D127" s="3"/>
      <c r="E127" s="3"/>
      <c r="F127" s="1"/>
      <c r="G127" s="1"/>
      <c r="H127" s="1"/>
      <c r="I127" s="1"/>
      <c r="J127" s="1"/>
      <c r="K127" s="1"/>
      <c r="L127" s="1"/>
      <c r="M127" s="1"/>
      <c r="N127" s="1"/>
      <c r="O127" s="1"/>
      <c r="P127" s="1"/>
      <c r="Q127" s="1"/>
      <c r="R127" s="1"/>
      <c r="S127" s="1"/>
      <c r="T127" s="1"/>
      <c r="U127" s="1"/>
      <c r="V127" s="1"/>
      <c r="W127" s="1"/>
      <c r="X127" s="1"/>
      <c r="Y127" s="1"/>
    </row>
    <row r="128" spans="1:25" ht="33.75" customHeight="1">
      <c r="A128" s="1"/>
      <c r="B128" s="15"/>
      <c r="C128" s="9"/>
      <c r="D128" s="3"/>
      <c r="E128" s="3"/>
      <c r="F128" s="1"/>
      <c r="G128" s="1"/>
      <c r="H128" s="1"/>
      <c r="I128" s="1"/>
      <c r="J128" s="1"/>
      <c r="K128" s="1"/>
      <c r="L128" s="1"/>
      <c r="M128" s="1"/>
      <c r="N128" s="1"/>
      <c r="O128" s="1"/>
      <c r="P128" s="1"/>
      <c r="Q128" s="1"/>
      <c r="R128" s="1"/>
      <c r="S128" s="1"/>
      <c r="T128" s="1"/>
      <c r="U128" s="1"/>
      <c r="V128" s="1"/>
      <c r="W128" s="1"/>
      <c r="X128" s="1"/>
      <c r="Y128" s="1"/>
    </row>
    <row r="129" spans="1:25" ht="33.75" customHeight="1">
      <c r="A129" s="1"/>
      <c r="B129" s="15"/>
      <c r="C129" s="9"/>
      <c r="D129" s="3"/>
      <c r="E129" s="3"/>
      <c r="F129" s="1"/>
      <c r="G129" s="1"/>
      <c r="H129" s="1"/>
      <c r="I129" s="1"/>
      <c r="J129" s="1"/>
      <c r="K129" s="1"/>
      <c r="L129" s="1"/>
      <c r="M129" s="1"/>
      <c r="N129" s="1"/>
      <c r="O129" s="1"/>
      <c r="P129" s="1"/>
      <c r="Q129" s="1"/>
      <c r="R129" s="1"/>
      <c r="S129" s="1"/>
      <c r="T129" s="1"/>
      <c r="U129" s="1"/>
      <c r="V129" s="1"/>
      <c r="W129" s="1"/>
      <c r="X129" s="1"/>
      <c r="Y129" s="1"/>
    </row>
    <row r="130" spans="1:25" ht="33.75" customHeight="1">
      <c r="A130" s="1"/>
      <c r="B130" s="15"/>
      <c r="C130" s="9"/>
      <c r="D130" s="3"/>
      <c r="E130" s="3"/>
      <c r="F130" s="1"/>
      <c r="G130" s="1"/>
      <c r="H130" s="1"/>
      <c r="I130" s="1"/>
      <c r="J130" s="1"/>
      <c r="K130" s="1"/>
      <c r="L130" s="1"/>
      <c r="M130" s="1"/>
      <c r="N130" s="1"/>
      <c r="O130" s="1"/>
      <c r="P130" s="1"/>
      <c r="Q130" s="1"/>
      <c r="R130" s="1"/>
      <c r="S130" s="1"/>
      <c r="T130" s="1"/>
      <c r="U130" s="1"/>
      <c r="V130" s="1"/>
      <c r="W130" s="1"/>
      <c r="X130" s="1"/>
      <c r="Y130" s="1"/>
    </row>
    <row r="131" spans="1:25" ht="33.75" customHeight="1">
      <c r="A131" s="1"/>
      <c r="B131" s="15"/>
      <c r="C131" s="9"/>
      <c r="D131" s="3"/>
      <c r="E131" s="3"/>
      <c r="F131" s="1"/>
      <c r="G131" s="1"/>
      <c r="H131" s="1"/>
      <c r="I131" s="1"/>
      <c r="J131" s="1"/>
      <c r="K131" s="1"/>
      <c r="L131" s="1"/>
      <c r="M131" s="1"/>
      <c r="N131" s="1"/>
      <c r="O131" s="1"/>
      <c r="P131" s="1"/>
      <c r="Q131" s="1"/>
      <c r="R131" s="1"/>
      <c r="S131" s="1"/>
      <c r="T131" s="1"/>
      <c r="U131" s="1"/>
      <c r="V131" s="1"/>
      <c r="W131" s="1"/>
      <c r="X131" s="1"/>
      <c r="Y131" s="1"/>
    </row>
    <row r="132" spans="1:25" ht="33.75" customHeight="1">
      <c r="A132" s="1"/>
      <c r="B132" s="15"/>
      <c r="C132" s="9"/>
      <c r="D132" s="3"/>
      <c r="E132" s="3"/>
      <c r="F132" s="1"/>
      <c r="G132" s="1"/>
      <c r="H132" s="1"/>
      <c r="I132" s="1"/>
      <c r="J132" s="1"/>
      <c r="K132" s="1"/>
      <c r="L132" s="1"/>
      <c r="M132" s="1"/>
      <c r="N132" s="1"/>
      <c r="O132" s="1"/>
      <c r="P132" s="1"/>
      <c r="Q132" s="1"/>
      <c r="R132" s="1"/>
      <c r="S132" s="1"/>
      <c r="T132" s="1"/>
      <c r="U132" s="1"/>
      <c r="V132" s="1"/>
      <c r="W132" s="1"/>
      <c r="X132" s="1"/>
      <c r="Y132" s="1"/>
    </row>
    <row r="133" spans="1:25" ht="33.75" customHeight="1">
      <c r="A133" s="1"/>
      <c r="B133" s="15"/>
      <c r="C133" s="9"/>
      <c r="D133" s="3"/>
      <c r="E133" s="3"/>
      <c r="F133" s="1"/>
      <c r="G133" s="1"/>
      <c r="H133" s="1"/>
      <c r="I133" s="1"/>
      <c r="J133" s="1"/>
      <c r="K133" s="1"/>
      <c r="L133" s="1"/>
      <c r="M133" s="1"/>
      <c r="N133" s="1"/>
      <c r="O133" s="1"/>
      <c r="P133" s="1"/>
      <c r="Q133" s="1"/>
      <c r="R133" s="1"/>
      <c r="S133" s="1"/>
      <c r="T133" s="1"/>
      <c r="U133" s="1"/>
      <c r="V133" s="1"/>
      <c r="W133" s="1"/>
      <c r="X133" s="1"/>
      <c r="Y133" s="1"/>
    </row>
    <row r="134" spans="1:25" ht="33.75" customHeight="1">
      <c r="A134" s="1"/>
      <c r="B134" s="15"/>
      <c r="C134" s="9"/>
      <c r="D134" s="3"/>
      <c r="E134" s="3"/>
      <c r="F134" s="1"/>
      <c r="G134" s="1"/>
      <c r="H134" s="1"/>
      <c r="I134" s="1"/>
      <c r="J134" s="1"/>
      <c r="K134" s="1"/>
      <c r="L134" s="1"/>
      <c r="M134" s="1"/>
      <c r="N134" s="1"/>
      <c r="O134" s="1"/>
      <c r="P134" s="1"/>
      <c r="Q134" s="1"/>
      <c r="R134" s="1"/>
      <c r="S134" s="1"/>
      <c r="T134" s="1"/>
      <c r="U134" s="1"/>
      <c r="V134" s="1"/>
      <c r="W134" s="1"/>
      <c r="X134" s="1"/>
      <c r="Y134" s="1"/>
    </row>
    <row r="135" spans="1:25" ht="33.75" customHeight="1">
      <c r="A135" s="1"/>
      <c r="B135" s="15"/>
      <c r="C135" s="9"/>
      <c r="D135" s="3"/>
      <c r="E135" s="3"/>
      <c r="F135" s="1"/>
      <c r="G135" s="1"/>
      <c r="H135" s="1"/>
      <c r="I135" s="1"/>
      <c r="J135" s="1"/>
      <c r="K135" s="1"/>
      <c r="L135" s="1"/>
      <c r="M135" s="1"/>
      <c r="N135" s="1"/>
      <c r="O135" s="1"/>
      <c r="P135" s="1"/>
      <c r="Q135" s="1"/>
      <c r="R135" s="1"/>
      <c r="S135" s="1"/>
      <c r="T135" s="1"/>
      <c r="U135" s="1"/>
      <c r="V135" s="1"/>
      <c r="W135" s="1"/>
      <c r="X135" s="1"/>
      <c r="Y135" s="1"/>
    </row>
    <row r="136" spans="1:25" ht="33.75" customHeight="1">
      <c r="A136" s="1"/>
      <c r="B136" s="15"/>
      <c r="C136" s="9"/>
      <c r="D136" s="3"/>
      <c r="E136" s="3"/>
      <c r="F136" s="1"/>
      <c r="G136" s="1"/>
      <c r="H136" s="1"/>
      <c r="I136" s="1"/>
      <c r="J136" s="1"/>
      <c r="K136" s="1"/>
      <c r="L136" s="1"/>
      <c r="M136" s="1"/>
      <c r="N136" s="1"/>
      <c r="O136" s="1"/>
      <c r="P136" s="1"/>
      <c r="Q136" s="1"/>
      <c r="R136" s="1"/>
      <c r="S136" s="1"/>
      <c r="T136" s="1"/>
      <c r="U136" s="1"/>
      <c r="V136" s="1"/>
      <c r="W136" s="1"/>
      <c r="X136" s="1"/>
      <c r="Y136" s="1"/>
    </row>
    <row r="137" spans="1:25" ht="33.75" customHeight="1">
      <c r="A137" s="1"/>
      <c r="B137" s="15"/>
      <c r="C137" s="9"/>
      <c r="D137" s="3"/>
      <c r="E137" s="3"/>
      <c r="F137" s="1"/>
      <c r="G137" s="1"/>
      <c r="H137" s="1"/>
      <c r="I137" s="1"/>
      <c r="J137" s="1"/>
      <c r="K137" s="1"/>
      <c r="L137" s="1"/>
      <c r="M137" s="1"/>
      <c r="N137" s="1"/>
      <c r="O137" s="1"/>
      <c r="P137" s="1"/>
      <c r="Q137" s="1"/>
      <c r="R137" s="1"/>
      <c r="S137" s="1"/>
      <c r="T137" s="1"/>
      <c r="U137" s="1"/>
      <c r="V137" s="1"/>
      <c r="W137" s="1"/>
      <c r="X137" s="1"/>
      <c r="Y137" s="1"/>
    </row>
    <row r="138" spans="1:25" ht="33.75" customHeight="1">
      <c r="A138" s="1"/>
      <c r="B138" s="15"/>
      <c r="C138" s="9"/>
      <c r="D138" s="3"/>
      <c r="E138" s="3"/>
      <c r="F138" s="1"/>
      <c r="G138" s="1"/>
      <c r="H138" s="1"/>
      <c r="I138" s="1"/>
      <c r="J138" s="1"/>
      <c r="K138" s="1"/>
      <c r="L138" s="1"/>
      <c r="M138" s="1"/>
      <c r="N138" s="1"/>
      <c r="O138" s="1"/>
      <c r="P138" s="1"/>
      <c r="Q138" s="1"/>
      <c r="R138" s="1"/>
      <c r="S138" s="1"/>
      <c r="T138" s="1"/>
      <c r="U138" s="1"/>
      <c r="V138" s="1"/>
      <c r="W138" s="1"/>
      <c r="X138" s="1"/>
      <c r="Y138" s="1"/>
    </row>
    <row r="139" spans="1:25" ht="33.75" customHeight="1">
      <c r="A139" s="1"/>
      <c r="B139" s="15"/>
      <c r="C139" s="9"/>
      <c r="D139" s="3"/>
      <c r="E139" s="3"/>
      <c r="F139" s="1"/>
      <c r="G139" s="1"/>
      <c r="H139" s="1"/>
      <c r="I139" s="1"/>
      <c r="J139" s="1"/>
      <c r="K139" s="1"/>
      <c r="L139" s="1"/>
      <c r="M139" s="1"/>
      <c r="N139" s="1"/>
      <c r="O139" s="1"/>
      <c r="P139" s="1"/>
      <c r="Q139" s="1"/>
      <c r="R139" s="1"/>
      <c r="S139" s="1"/>
      <c r="T139" s="1"/>
      <c r="U139" s="1"/>
      <c r="V139" s="1"/>
      <c r="W139" s="1"/>
      <c r="X139" s="1"/>
      <c r="Y139" s="1"/>
    </row>
    <row r="140" spans="1:25" ht="33.75" customHeight="1">
      <c r="A140" s="1"/>
      <c r="B140" s="15"/>
      <c r="C140" s="9"/>
      <c r="D140" s="3"/>
      <c r="E140" s="3"/>
      <c r="F140" s="1"/>
      <c r="G140" s="1"/>
      <c r="H140" s="1"/>
      <c r="I140" s="1"/>
      <c r="J140" s="1"/>
      <c r="K140" s="1"/>
      <c r="L140" s="1"/>
      <c r="M140" s="1"/>
      <c r="N140" s="1"/>
      <c r="O140" s="1"/>
      <c r="P140" s="1"/>
      <c r="Q140" s="1"/>
      <c r="R140" s="1"/>
      <c r="S140" s="1"/>
      <c r="T140" s="1"/>
      <c r="U140" s="1"/>
      <c r="V140" s="1"/>
      <c r="W140" s="1"/>
      <c r="X140" s="1"/>
      <c r="Y140" s="1"/>
    </row>
    <row r="141" spans="1:25" ht="33.75" customHeight="1">
      <c r="A141" s="1"/>
      <c r="B141" s="15"/>
      <c r="C141" s="9"/>
      <c r="D141" s="3"/>
      <c r="E141" s="3"/>
      <c r="F141" s="1"/>
      <c r="G141" s="1"/>
      <c r="H141" s="1"/>
      <c r="I141" s="1"/>
      <c r="J141" s="1"/>
      <c r="K141" s="1"/>
      <c r="L141" s="1"/>
      <c r="M141" s="1"/>
      <c r="N141" s="1"/>
      <c r="O141" s="1"/>
      <c r="P141" s="1"/>
      <c r="Q141" s="1"/>
      <c r="R141" s="1"/>
      <c r="S141" s="1"/>
      <c r="T141" s="1"/>
      <c r="U141" s="1"/>
      <c r="V141" s="1"/>
      <c r="W141" s="1"/>
      <c r="X141" s="1"/>
      <c r="Y141" s="1"/>
    </row>
    <row r="142" spans="1:25" ht="33.75" customHeight="1">
      <c r="A142" s="1"/>
      <c r="B142" s="15"/>
      <c r="C142" s="9"/>
      <c r="D142" s="3"/>
      <c r="E142" s="3"/>
      <c r="F142" s="1"/>
      <c r="G142" s="1"/>
      <c r="H142" s="1"/>
      <c r="I142" s="1"/>
      <c r="J142" s="1"/>
      <c r="K142" s="1"/>
      <c r="L142" s="1"/>
      <c r="M142" s="1"/>
      <c r="N142" s="1"/>
      <c r="O142" s="1"/>
      <c r="P142" s="1"/>
      <c r="Q142" s="1"/>
      <c r="R142" s="1"/>
      <c r="S142" s="1"/>
      <c r="T142" s="1"/>
      <c r="U142" s="1"/>
      <c r="V142" s="1"/>
      <c r="W142" s="1"/>
      <c r="X142" s="1"/>
      <c r="Y142" s="1"/>
    </row>
    <row r="143" spans="1:25" ht="33.75" customHeight="1">
      <c r="A143" s="1"/>
      <c r="B143" s="15"/>
      <c r="C143" s="9"/>
      <c r="D143" s="3"/>
      <c r="E143" s="3"/>
      <c r="F143" s="1"/>
      <c r="G143" s="1"/>
      <c r="H143" s="1"/>
      <c r="I143" s="1"/>
      <c r="J143" s="1"/>
      <c r="K143" s="1"/>
      <c r="L143" s="1"/>
      <c r="M143" s="1"/>
      <c r="N143" s="1"/>
      <c r="O143" s="1"/>
      <c r="P143" s="1"/>
      <c r="Q143" s="1"/>
      <c r="R143" s="1"/>
      <c r="S143" s="1"/>
      <c r="T143" s="1"/>
      <c r="U143" s="1"/>
      <c r="V143" s="1"/>
      <c r="W143" s="1"/>
      <c r="X143" s="1"/>
      <c r="Y143" s="1"/>
    </row>
    <row r="144" spans="1:25" ht="33.75" customHeight="1">
      <c r="A144" s="1"/>
      <c r="B144" s="15"/>
      <c r="C144" s="9"/>
      <c r="D144" s="3"/>
      <c r="E144" s="3"/>
      <c r="F144" s="1"/>
      <c r="G144" s="1"/>
      <c r="H144" s="1"/>
      <c r="I144" s="1"/>
      <c r="J144" s="1"/>
      <c r="K144" s="1"/>
      <c r="L144" s="1"/>
      <c r="M144" s="1"/>
      <c r="N144" s="1"/>
      <c r="O144" s="1"/>
      <c r="P144" s="1"/>
      <c r="Q144" s="1"/>
      <c r="R144" s="1"/>
      <c r="S144" s="1"/>
      <c r="T144" s="1"/>
      <c r="U144" s="1"/>
      <c r="V144" s="1"/>
      <c r="W144" s="1"/>
      <c r="X144" s="1"/>
      <c r="Y144" s="1"/>
    </row>
    <row r="145" spans="1:25" ht="33.75" customHeight="1">
      <c r="A145" s="1"/>
      <c r="B145" s="15"/>
      <c r="C145" s="9"/>
      <c r="D145" s="3"/>
      <c r="E145" s="3"/>
      <c r="F145" s="1"/>
      <c r="G145" s="1"/>
      <c r="H145" s="1"/>
      <c r="I145" s="1"/>
      <c r="J145" s="1"/>
      <c r="K145" s="1"/>
      <c r="L145" s="1"/>
      <c r="M145" s="1"/>
      <c r="N145" s="1"/>
      <c r="O145" s="1"/>
      <c r="P145" s="1"/>
      <c r="Q145" s="1"/>
      <c r="R145" s="1"/>
      <c r="S145" s="1"/>
      <c r="T145" s="1"/>
      <c r="U145" s="1"/>
      <c r="V145" s="1"/>
      <c r="W145" s="1"/>
      <c r="X145" s="1"/>
      <c r="Y145" s="1"/>
    </row>
    <row r="146" spans="1:25" ht="33.75" customHeight="1">
      <c r="A146" s="1"/>
      <c r="B146" s="15"/>
      <c r="C146" s="9"/>
      <c r="D146" s="3"/>
      <c r="E146" s="3"/>
      <c r="F146" s="1"/>
      <c r="G146" s="1"/>
      <c r="H146" s="1"/>
      <c r="I146" s="1"/>
      <c r="J146" s="1"/>
      <c r="K146" s="1"/>
      <c r="L146" s="1"/>
      <c r="M146" s="1"/>
      <c r="N146" s="1"/>
      <c r="O146" s="1"/>
      <c r="P146" s="1"/>
      <c r="Q146" s="1"/>
      <c r="R146" s="1"/>
      <c r="S146" s="1"/>
      <c r="T146" s="1"/>
      <c r="U146" s="1"/>
      <c r="V146" s="1"/>
      <c r="W146" s="1"/>
      <c r="X146" s="1"/>
      <c r="Y146" s="1"/>
    </row>
    <row r="147" spans="1:25" ht="33.75" customHeight="1">
      <c r="A147" s="1"/>
      <c r="B147" s="15"/>
      <c r="C147" s="9"/>
      <c r="D147" s="3"/>
      <c r="E147" s="3"/>
      <c r="F147" s="1"/>
      <c r="G147" s="1"/>
      <c r="H147" s="1"/>
      <c r="I147" s="1"/>
      <c r="J147" s="1"/>
      <c r="K147" s="1"/>
      <c r="L147" s="1"/>
      <c r="M147" s="1"/>
      <c r="N147" s="1"/>
      <c r="O147" s="1"/>
      <c r="P147" s="1"/>
      <c r="Q147" s="1"/>
      <c r="R147" s="1"/>
      <c r="S147" s="1"/>
      <c r="T147" s="1"/>
      <c r="U147" s="1"/>
      <c r="V147" s="1"/>
      <c r="W147" s="1"/>
      <c r="X147" s="1"/>
      <c r="Y147" s="1"/>
    </row>
    <row r="148" spans="1:25" ht="33.75" customHeight="1">
      <c r="A148" s="1"/>
      <c r="B148" s="15"/>
      <c r="C148" s="9"/>
      <c r="D148" s="3"/>
      <c r="E148" s="3"/>
      <c r="F148" s="1"/>
      <c r="G148" s="1"/>
      <c r="H148" s="1"/>
      <c r="I148" s="1"/>
      <c r="J148" s="1"/>
      <c r="K148" s="1"/>
      <c r="L148" s="1"/>
      <c r="M148" s="1"/>
      <c r="N148" s="1"/>
      <c r="O148" s="1"/>
      <c r="P148" s="1"/>
      <c r="Q148" s="1"/>
      <c r="R148" s="1"/>
      <c r="S148" s="1"/>
      <c r="T148" s="1"/>
      <c r="U148" s="1"/>
      <c r="V148" s="1"/>
      <c r="W148" s="1"/>
      <c r="X148" s="1"/>
      <c r="Y148" s="1"/>
    </row>
    <row r="149" spans="1:25" ht="33.75" customHeight="1">
      <c r="A149" s="1"/>
      <c r="B149" s="15"/>
      <c r="C149" s="9"/>
      <c r="D149" s="3"/>
      <c r="E149" s="3"/>
      <c r="F149" s="1"/>
      <c r="G149" s="1"/>
      <c r="H149" s="1"/>
      <c r="I149" s="1"/>
      <c r="J149" s="1"/>
      <c r="K149" s="1"/>
      <c r="L149" s="1"/>
      <c r="M149" s="1"/>
      <c r="N149" s="1"/>
      <c r="O149" s="1"/>
      <c r="P149" s="1"/>
      <c r="Q149" s="1"/>
      <c r="R149" s="1"/>
      <c r="S149" s="1"/>
      <c r="T149" s="1"/>
      <c r="U149" s="1"/>
      <c r="V149" s="1"/>
      <c r="W149" s="1"/>
      <c r="X149" s="1"/>
      <c r="Y149" s="1"/>
    </row>
    <row r="150" spans="1:25" ht="33.75" customHeight="1">
      <c r="A150" s="1"/>
      <c r="B150" s="15"/>
      <c r="C150" s="9"/>
      <c r="D150" s="3"/>
      <c r="E150" s="3"/>
      <c r="F150" s="1"/>
      <c r="G150" s="1"/>
      <c r="H150" s="1"/>
      <c r="I150" s="1"/>
      <c r="J150" s="1"/>
      <c r="K150" s="1"/>
      <c r="L150" s="1"/>
      <c r="M150" s="1"/>
      <c r="N150" s="1"/>
      <c r="O150" s="1"/>
      <c r="P150" s="1"/>
      <c r="Q150" s="1"/>
      <c r="R150" s="1"/>
      <c r="S150" s="1"/>
      <c r="T150" s="1"/>
      <c r="U150" s="1"/>
      <c r="V150" s="1"/>
      <c r="W150" s="1"/>
      <c r="X150" s="1"/>
      <c r="Y150" s="1"/>
    </row>
    <row r="151" spans="1:25" ht="33.75" customHeight="1">
      <c r="A151" s="1"/>
      <c r="B151" s="15"/>
      <c r="C151" s="9"/>
      <c r="D151" s="3"/>
      <c r="E151" s="3"/>
      <c r="F151" s="1"/>
      <c r="G151" s="1"/>
      <c r="H151" s="1"/>
      <c r="I151" s="1"/>
      <c r="J151" s="1"/>
      <c r="K151" s="1"/>
      <c r="L151" s="1"/>
      <c r="M151" s="1"/>
      <c r="N151" s="1"/>
      <c r="O151" s="1"/>
      <c r="P151" s="1"/>
      <c r="Q151" s="1"/>
      <c r="R151" s="1"/>
      <c r="S151" s="1"/>
      <c r="T151" s="1"/>
      <c r="U151" s="1"/>
      <c r="V151" s="1"/>
      <c r="W151" s="1"/>
      <c r="X151" s="1"/>
      <c r="Y151" s="1"/>
    </row>
    <row r="152" spans="1:25" ht="33.75" customHeight="1">
      <c r="A152" s="1"/>
      <c r="B152" s="15"/>
      <c r="C152" s="9"/>
      <c r="D152" s="3"/>
      <c r="E152" s="3"/>
      <c r="F152" s="1"/>
      <c r="G152" s="1"/>
      <c r="H152" s="1"/>
      <c r="I152" s="1"/>
      <c r="J152" s="1"/>
      <c r="K152" s="1"/>
      <c r="L152" s="1"/>
      <c r="M152" s="1"/>
      <c r="N152" s="1"/>
      <c r="O152" s="1"/>
      <c r="P152" s="1"/>
      <c r="Q152" s="1"/>
      <c r="R152" s="1"/>
      <c r="S152" s="1"/>
      <c r="T152" s="1"/>
      <c r="U152" s="1"/>
      <c r="V152" s="1"/>
      <c r="W152" s="1"/>
      <c r="X152" s="1"/>
      <c r="Y152" s="1"/>
    </row>
    <row r="153" spans="1:25" ht="33.75" customHeight="1">
      <c r="A153" s="1"/>
      <c r="B153" s="15"/>
      <c r="C153" s="9"/>
      <c r="D153" s="3"/>
      <c r="E153" s="3"/>
      <c r="F153" s="1"/>
      <c r="G153" s="1"/>
      <c r="H153" s="1"/>
      <c r="I153" s="1"/>
      <c r="J153" s="1"/>
      <c r="K153" s="1"/>
      <c r="L153" s="1"/>
      <c r="M153" s="1"/>
      <c r="N153" s="1"/>
      <c r="O153" s="1"/>
      <c r="P153" s="1"/>
      <c r="Q153" s="1"/>
      <c r="R153" s="1"/>
      <c r="S153" s="1"/>
      <c r="T153" s="1"/>
      <c r="U153" s="1"/>
      <c r="V153" s="1"/>
      <c r="W153" s="1"/>
      <c r="X153" s="1"/>
      <c r="Y153" s="1"/>
    </row>
    <row r="154" spans="1:25" ht="33.75" customHeight="1">
      <c r="A154" s="1"/>
      <c r="B154" s="15"/>
      <c r="C154" s="9"/>
      <c r="D154" s="3"/>
      <c r="E154" s="3"/>
      <c r="F154" s="1"/>
      <c r="G154" s="1"/>
      <c r="H154" s="1"/>
      <c r="I154" s="1"/>
      <c r="J154" s="1"/>
      <c r="K154" s="1"/>
      <c r="L154" s="1"/>
      <c r="M154" s="1"/>
      <c r="N154" s="1"/>
      <c r="O154" s="1"/>
      <c r="P154" s="1"/>
      <c r="Q154" s="1"/>
      <c r="R154" s="1"/>
      <c r="S154" s="1"/>
      <c r="T154" s="1"/>
      <c r="U154" s="1"/>
      <c r="V154" s="1"/>
      <c r="W154" s="1"/>
      <c r="X154" s="1"/>
      <c r="Y154" s="1"/>
    </row>
    <row r="155" spans="1:25" ht="33.75" customHeight="1">
      <c r="A155" s="1"/>
      <c r="B155" s="15"/>
      <c r="C155" s="9"/>
      <c r="D155" s="3"/>
      <c r="E155" s="3"/>
      <c r="F155" s="1"/>
      <c r="G155" s="1"/>
      <c r="H155" s="1"/>
      <c r="I155" s="1"/>
      <c r="J155" s="1"/>
      <c r="K155" s="1"/>
      <c r="L155" s="1"/>
      <c r="M155" s="1"/>
      <c r="N155" s="1"/>
      <c r="O155" s="1"/>
      <c r="P155" s="1"/>
      <c r="Q155" s="1"/>
      <c r="R155" s="1"/>
      <c r="S155" s="1"/>
      <c r="T155" s="1"/>
      <c r="U155" s="1"/>
      <c r="V155" s="1"/>
      <c r="W155" s="1"/>
      <c r="X155" s="1"/>
      <c r="Y155" s="1"/>
    </row>
    <row r="156" spans="1:25" ht="33.75" customHeight="1">
      <c r="A156" s="1"/>
      <c r="B156" s="15"/>
      <c r="C156" s="9"/>
      <c r="D156" s="3"/>
      <c r="E156" s="3"/>
      <c r="F156" s="1"/>
      <c r="G156" s="1"/>
      <c r="H156" s="1"/>
      <c r="I156" s="1"/>
      <c r="J156" s="1"/>
      <c r="K156" s="1"/>
      <c r="L156" s="1"/>
      <c r="M156" s="1"/>
      <c r="N156" s="1"/>
      <c r="O156" s="1"/>
      <c r="P156" s="1"/>
      <c r="Q156" s="1"/>
      <c r="R156" s="1"/>
      <c r="S156" s="1"/>
      <c r="T156" s="1"/>
      <c r="U156" s="1"/>
      <c r="V156" s="1"/>
      <c r="W156" s="1"/>
      <c r="X156" s="1"/>
      <c r="Y156" s="1"/>
    </row>
    <row r="157" spans="1:25" ht="33.75" customHeight="1">
      <c r="A157" s="1"/>
      <c r="B157" s="15"/>
      <c r="C157" s="9"/>
      <c r="D157" s="3"/>
      <c r="E157" s="3"/>
      <c r="F157" s="1"/>
      <c r="G157" s="1"/>
      <c r="H157" s="1"/>
      <c r="I157" s="1"/>
      <c r="J157" s="1"/>
      <c r="K157" s="1"/>
      <c r="L157" s="1"/>
      <c r="M157" s="1"/>
      <c r="N157" s="1"/>
      <c r="O157" s="1"/>
      <c r="P157" s="1"/>
      <c r="Q157" s="1"/>
      <c r="R157" s="1"/>
      <c r="S157" s="1"/>
      <c r="T157" s="1"/>
      <c r="U157" s="1"/>
      <c r="V157" s="1"/>
      <c r="W157" s="1"/>
      <c r="X157" s="1"/>
      <c r="Y157" s="1"/>
    </row>
    <row r="158" spans="1:25" ht="33.75" customHeight="1">
      <c r="A158" s="1"/>
      <c r="B158" s="15"/>
      <c r="C158" s="9"/>
      <c r="D158" s="3"/>
      <c r="E158" s="3"/>
      <c r="F158" s="1"/>
      <c r="G158" s="1"/>
      <c r="H158" s="1"/>
      <c r="I158" s="1"/>
      <c r="J158" s="1"/>
      <c r="K158" s="1"/>
      <c r="L158" s="1"/>
      <c r="M158" s="1"/>
      <c r="N158" s="1"/>
      <c r="O158" s="1"/>
      <c r="P158" s="1"/>
      <c r="Q158" s="1"/>
      <c r="R158" s="1"/>
      <c r="S158" s="1"/>
      <c r="T158" s="1"/>
      <c r="U158" s="1"/>
      <c r="V158" s="1"/>
      <c r="W158" s="1"/>
      <c r="X158" s="1"/>
      <c r="Y158" s="1"/>
    </row>
    <row r="159" spans="1:25" ht="33.75" customHeight="1">
      <c r="A159" s="1"/>
      <c r="B159" s="15"/>
      <c r="C159" s="9"/>
      <c r="D159" s="3"/>
      <c r="E159" s="3"/>
      <c r="F159" s="1"/>
      <c r="G159" s="1"/>
      <c r="H159" s="1"/>
      <c r="I159" s="1"/>
      <c r="J159" s="1"/>
      <c r="K159" s="1"/>
      <c r="L159" s="1"/>
      <c r="M159" s="1"/>
      <c r="N159" s="1"/>
      <c r="O159" s="1"/>
      <c r="P159" s="1"/>
      <c r="Q159" s="1"/>
      <c r="R159" s="1"/>
      <c r="S159" s="1"/>
      <c r="T159" s="1"/>
      <c r="U159" s="1"/>
      <c r="V159" s="1"/>
      <c r="W159" s="1"/>
      <c r="X159" s="1"/>
      <c r="Y159" s="1"/>
    </row>
    <row r="160" spans="1:25" ht="33.75" customHeight="1">
      <c r="A160" s="1"/>
      <c r="B160" s="15"/>
      <c r="C160" s="9"/>
      <c r="D160" s="3"/>
      <c r="E160" s="3"/>
      <c r="F160" s="1"/>
      <c r="G160" s="1"/>
      <c r="H160" s="1"/>
      <c r="I160" s="1"/>
      <c r="J160" s="1"/>
      <c r="K160" s="1"/>
      <c r="L160" s="1"/>
      <c r="M160" s="1"/>
      <c r="N160" s="1"/>
      <c r="O160" s="1"/>
      <c r="P160" s="1"/>
      <c r="Q160" s="1"/>
      <c r="R160" s="1"/>
      <c r="S160" s="1"/>
      <c r="T160" s="1"/>
      <c r="U160" s="1"/>
      <c r="V160" s="1"/>
      <c r="W160" s="1"/>
      <c r="X160" s="1"/>
      <c r="Y160" s="1"/>
    </row>
    <row r="161" spans="1:25" ht="33.75" customHeight="1">
      <c r="A161" s="1"/>
      <c r="B161" s="15"/>
      <c r="C161" s="9"/>
      <c r="D161" s="3"/>
      <c r="E161" s="3"/>
      <c r="F161" s="1"/>
      <c r="G161" s="1"/>
      <c r="H161" s="1"/>
      <c r="I161" s="1"/>
      <c r="J161" s="1"/>
      <c r="K161" s="1"/>
      <c r="L161" s="1"/>
      <c r="M161" s="1"/>
      <c r="N161" s="1"/>
      <c r="O161" s="1"/>
      <c r="P161" s="1"/>
      <c r="Q161" s="1"/>
      <c r="R161" s="1"/>
      <c r="S161" s="1"/>
      <c r="T161" s="1"/>
      <c r="U161" s="1"/>
      <c r="V161" s="1"/>
      <c r="W161" s="1"/>
      <c r="X161" s="1"/>
      <c r="Y161" s="1"/>
    </row>
    <row r="162" spans="1:25" ht="33.75" customHeight="1">
      <c r="A162" s="1"/>
      <c r="B162" s="15"/>
      <c r="C162" s="9"/>
      <c r="D162" s="3"/>
      <c r="E162" s="3"/>
      <c r="F162" s="1"/>
      <c r="G162" s="1"/>
      <c r="H162" s="1"/>
      <c r="I162" s="1"/>
      <c r="J162" s="1"/>
      <c r="K162" s="1"/>
      <c r="L162" s="1"/>
      <c r="M162" s="1"/>
      <c r="N162" s="1"/>
      <c r="O162" s="1"/>
      <c r="P162" s="1"/>
      <c r="Q162" s="1"/>
      <c r="R162" s="1"/>
      <c r="S162" s="1"/>
      <c r="T162" s="1"/>
      <c r="U162" s="1"/>
      <c r="V162" s="1"/>
      <c r="W162" s="1"/>
      <c r="X162" s="1"/>
      <c r="Y162" s="1"/>
    </row>
    <row r="163" spans="1:25" ht="33.75" customHeight="1">
      <c r="A163" s="1"/>
      <c r="B163" s="15"/>
      <c r="C163" s="9"/>
      <c r="D163" s="3"/>
      <c r="E163" s="3"/>
      <c r="F163" s="1"/>
      <c r="G163" s="1"/>
      <c r="H163" s="1"/>
      <c r="I163" s="1"/>
      <c r="J163" s="1"/>
      <c r="K163" s="1"/>
      <c r="L163" s="1"/>
      <c r="M163" s="1"/>
      <c r="N163" s="1"/>
      <c r="O163" s="1"/>
      <c r="P163" s="1"/>
      <c r="Q163" s="1"/>
      <c r="R163" s="1"/>
      <c r="S163" s="1"/>
      <c r="T163" s="1"/>
      <c r="U163" s="1"/>
      <c r="V163" s="1"/>
      <c r="W163" s="1"/>
      <c r="X163" s="1"/>
      <c r="Y163" s="1"/>
    </row>
    <row r="164" spans="1:25" ht="33.75" customHeight="1">
      <c r="A164" s="1"/>
      <c r="B164" s="15"/>
      <c r="C164" s="9"/>
      <c r="D164" s="3"/>
      <c r="E164" s="3"/>
      <c r="F164" s="1"/>
      <c r="G164" s="1"/>
      <c r="H164" s="1"/>
      <c r="I164" s="1"/>
      <c r="J164" s="1"/>
      <c r="K164" s="1"/>
      <c r="L164" s="1"/>
      <c r="M164" s="1"/>
      <c r="N164" s="1"/>
      <c r="O164" s="1"/>
      <c r="P164" s="1"/>
      <c r="Q164" s="1"/>
      <c r="R164" s="1"/>
      <c r="S164" s="1"/>
      <c r="T164" s="1"/>
      <c r="U164" s="1"/>
      <c r="V164" s="1"/>
      <c r="W164" s="1"/>
      <c r="X164" s="1"/>
      <c r="Y164" s="1"/>
    </row>
    <row r="165" spans="1:25" ht="33.75" customHeight="1">
      <c r="A165" s="1"/>
      <c r="B165" s="15"/>
      <c r="C165" s="9"/>
      <c r="D165" s="3"/>
      <c r="E165" s="3"/>
      <c r="F165" s="1"/>
      <c r="G165" s="1"/>
      <c r="H165" s="1"/>
      <c r="I165" s="1"/>
      <c r="J165" s="1"/>
      <c r="K165" s="1"/>
      <c r="L165" s="1"/>
      <c r="M165" s="1"/>
      <c r="N165" s="1"/>
      <c r="O165" s="1"/>
      <c r="P165" s="1"/>
      <c r="Q165" s="1"/>
      <c r="R165" s="1"/>
      <c r="S165" s="1"/>
      <c r="T165" s="1"/>
      <c r="U165" s="1"/>
      <c r="V165" s="1"/>
      <c r="W165" s="1"/>
      <c r="X165" s="1"/>
      <c r="Y165" s="1"/>
    </row>
    <row r="166" spans="1:25" ht="33.75" customHeight="1">
      <c r="A166" s="1"/>
      <c r="B166" s="15"/>
      <c r="C166" s="9"/>
      <c r="D166" s="3"/>
      <c r="E166" s="3"/>
      <c r="F166" s="1"/>
      <c r="G166" s="1"/>
      <c r="H166" s="1"/>
      <c r="I166" s="1"/>
      <c r="J166" s="1"/>
      <c r="K166" s="1"/>
      <c r="L166" s="1"/>
      <c r="M166" s="1"/>
      <c r="N166" s="1"/>
      <c r="O166" s="1"/>
      <c r="P166" s="1"/>
      <c r="Q166" s="1"/>
      <c r="R166" s="1"/>
      <c r="S166" s="1"/>
      <c r="T166" s="1"/>
      <c r="U166" s="1"/>
      <c r="V166" s="1"/>
      <c r="W166" s="1"/>
      <c r="X166" s="1"/>
      <c r="Y166" s="1"/>
    </row>
    <row r="167" spans="1:25" ht="33.75" customHeight="1">
      <c r="A167" s="1"/>
      <c r="B167" s="15"/>
      <c r="C167" s="9"/>
      <c r="D167" s="3"/>
      <c r="E167" s="3"/>
      <c r="F167" s="1"/>
      <c r="G167" s="1"/>
      <c r="H167" s="1"/>
      <c r="I167" s="1"/>
      <c r="J167" s="1"/>
      <c r="K167" s="1"/>
      <c r="L167" s="1"/>
      <c r="M167" s="1"/>
      <c r="N167" s="1"/>
      <c r="O167" s="1"/>
      <c r="P167" s="1"/>
      <c r="Q167" s="1"/>
      <c r="R167" s="1"/>
      <c r="S167" s="1"/>
      <c r="T167" s="1"/>
      <c r="U167" s="1"/>
      <c r="V167" s="1"/>
      <c r="W167" s="1"/>
      <c r="X167" s="1"/>
      <c r="Y167" s="1"/>
    </row>
    <row r="168" spans="1:25" ht="33.75" customHeight="1">
      <c r="A168" s="1"/>
      <c r="B168" s="15"/>
      <c r="C168" s="9"/>
      <c r="D168" s="3"/>
      <c r="E168" s="3"/>
      <c r="F168" s="1"/>
      <c r="G168" s="1"/>
      <c r="H168" s="1"/>
      <c r="I168" s="1"/>
      <c r="J168" s="1"/>
      <c r="K168" s="1"/>
      <c r="L168" s="1"/>
      <c r="M168" s="1"/>
      <c r="N168" s="1"/>
      <c r="O168" s="1"/>
      <c r="P168" s="1"/>
      <c r="Q168" s="1"/>
      <c r="R168" s="1"/>
      <c r="S168" s="1"/>
      <c r="T168" s="1"/>
      <c r="U168" s="1"/>
      <c r="V168" s="1"/>
      <c r="W168" s="1"/>
      <c r="X168" s="1"/>
      <c r="Y168" s="1"/>
    </row>
    <row r="169" spans="1:25" ht="33.75" customHeight="1">
      <c r="A169" s="1"/>
      <c r="B169" s="15"/>
      <c r="C169" s="9"/>
      <c r="D169" s="3"/>
      <c r="E169" s="3"/>
      <c r="F169" s="1"/>
      <c r="G169" s="1"/>
      <c r="H169" s="1"/>
      <c r="I169" s="1"/>
      <c r="J169" s="1"/>
      <c r="K169" s="1"/>
      <c r="L169" s="1"/>
      <c r="M169" s="1"/>
      <c r="N169" s="1"/>
      <c r="O169" s="1"/>
      <c r="P169" s="1"/>
      <c r="Q169" s="1"/>
      <c r="R169" s="1"/>
      <c r="S169" s="1"/>
      <c r="T169" s="1"/>
      <c r="U169" s="1"/>
      <c r="V169" s="1"/>
      <c r="W169" s="1"/>
      <c r="X169" s="1"/>
      <c r="Y169" s="1"/>
    </row>
    <row r="170" spans="1:25" ht="33.75" customHeight="1">
      <c r="A170" s="1"/>
      <c r="B170" s="15"/>
      <c r="C170" s="9"/>
      <c r="D170" s="3"/>
      <c r="E170" s="3"/>
      <c r="F170" s="1"/>
      <c r="G170" s="1"/>
      <c r="H170" s="1"/>
      <c r="I170" s="1"/>
      <c r="J170" s="1"/>
      <c r="K170" s="1"/>
      <c r="L170" s="1"/>
      <c r="M170" s="1"/>
      <c r="N170" s="1"/>
      <c r="O170" s="1"/>
      <c r="P170" s="1"/>
      <c r="Q170" s="1"/>
      <c r="R170" s="1"/>
      <c r="S170" s="1"/>
      <c r="T170" s="1"/>
      <c r="U170" s="1"/>
      <c r="V170" s="1"/>
      <c r="W170" s="1"/>
      <c r="X170" s="1"/>
      <c r="Y170" s="1"/>
    </row>
    <row r="171" spans="1:25" ht="33.75" customHeight="1">
      <c r="A171" s="1"/>
      <c r="B171" s="15"/>
      <c r="C171" s="9"/>
      <c r="D171" s="3"/>
      <c r="E171" s="3"/>
      <c r="F171" s="1"/>
      <c r="G171" s="1"/>
      <c r="H171" s="1"/>
      <c r="I171" s="1"/>
      <c r="J171" s="1"/>
      <c r="K171" s="1"/>
      <c r="L171" s="1"/>
      <c r="M171" s="1"/>
      <c r="N171" s="1"/>
      <c r="O171" s="1"/>
      <c r="P171" s="1"/>
      <c r="Q171" s="1"/>
      <c r="R171" s="1"/>
      <c r="S171" s="1"/>
      <c r="T171" s="1"/>
      <c r="U171" s="1"/>
      <c r="V171" s="1"/>
      <c r="W171" s="1"/>
      <c r="X171" s="1"/>
      <c r="Y171" s="1"/>
    </row>
    <row r="172" spans="1:25" ht="33.75" customHeight="1">
      <c r="A172" s="1"/>
      <c r="B172" s="15"/>
      <c r="C172" s="9"/>
      <c r="D172" s="3"/>
      <c r="E172" s="3"/>
      <c r="F172" s="1"/>
      <c r="G172" s="1"/>
      <c r="H172" s="1"/>
      <c r="I172" s="1"/>
      <c r="J172" s="1"/>
      <c r="K172" s="1"/>
      <c r="L172" s="1"/>
      <c r="M172" s="1"/>
      <c r="N172" s="1"/>
      <c r="O172" s="1"/>
      <c r="P172" s="1"/>
      <c r="Q172" s="1"/>
      <c r="R172" s="1"/>
      <c r="S172" s="1"/>
      <c r="T172" s="1"/>
      <c r="U172" s="1"/>
      <c r="V172" s="1"/>
      <c r="W172" s="1"/>
      <c r="X172" s="1"/>
      <c r="Y172" s="1"/>
    </row>
    <row r="173" spans="1:25" ht="33.75" customHeight="1">
      <c r="A173" s="1"/>
      <c r="B173" s="15"/>
      <c r="C173" s="9"/>
      <c r="D173" s="3"/>
      <c r="E173" s="3"/>
      <c r="F173" s="1"/>
      <c r="G173" s="1"/>
      <c r="H173" s="1"/>
      <c r="I173" s="1"/>
      <c r="J173" s="1"/>
      <c r="K173" s="1"/>
      <c r="L173" s="1"/>
      <c r="M173" s="1"/>
      <c r="N173" s="1"/>
      <c r="O173" s="1"/>
      <c r="P173" s="1"/>
      <c r="Q173" s="1"/>
      <c r="R173" s="1"/>
      <c r="S173" s="1"/>
      <c r="T173" s="1"/>
      <c r="U173" s="1"/>
      <c r="V173" s="1"/>
      <c r="W173" s="1"/>
      <c r="X173" s="1"/>
      <c r="Y173" s="1"/>
    </row>
    <row r="174" spans="1:25" ht="33.75" customHeight="1">
      <c r="A174" s="1"/>
      <c r="B174" s="15"/>
      <c r="C174" s="9"/>
      <c r="D174" s="3"/>
      <c r="E174" s="3"/>
      <c r="F174" s="1"/>
      <c r="G174" s="1"/>
      <c r="H174" s="1"/>
      <c r="I174" s="1"/>
      <c r="J174" s="1"/>
      <c r="K174" s="1"/>
      <c r="L174" s="1"/>
      <c r="M174" s="1"/>
      <c r="N174" s="1"/>
      <c r="O174" s="1"/>
      <c r="P174" s="1"/>
      <c r="Q174" s="1"/>
      <c r="R174" s="1"/>
      <c r="S174" s="1"/>
      <c r="T174" s="1"/>
      <c r="U174" s="1"/>
      <c r="V174" s="1"/>
      <c r="W174" s="1"/>
      <c r="X174" s="1"/>
      <c r="Y174" s="1"/>
    </row>
    <row r="175" spans="1:25" ht="33.75" customHeight="1">
      <c r="A175" s="1"/>
      <c r="B175" s="15"/>
      <c r="C175" s="9"/>
      <c r="D175" s="3"/>
      <c r="E175" s="3"/>
      <c r="F175" s="1"/>
      <c r="G175" s="1"/>
      <c r="H175" s="1"/>
      <c r="I175" s="1"/>
      <c r="J175" s="1"/>
      <c r="K175" s="1"/>
      <c r="L175" s="1"/>
      <c r="M175" s="1"/>
      <c r="N175" s="1"/>
      <c r="O175" s="1"/>
      <c r="P175" s="1"/>
      <c r="Q175" s="1"/>
      <c r="R175" s="1"/>
      <c r="S175" s="1"/>
      <c r="T175" s="1"/>
      <c r="U175" s="1"/>
      <c r="V175" s="1"/>
      <c r="W175" s="1"/>
      <c r="X175" s="1"/>
      <c r="Y175" s="1"/>
    </row>
    <row r="176" spans="1:25" ht="33.75" customHeight="1">
      <c r="A176" s="1"/>
      <c r="B176" s="15"/>
      <c r="C176" s="9"/>
      <c r="D176" s="3"/>
      <c r="E176" s="3"/>
      <c r="F176" s="1"/>
      <c r="G176" s="1"/>
      <c r="H176" s="1"/>
      <c r="I176" s="1"/>
      <c r="J176" s="1"/>
      <c r="K176" s="1"/>
      <c r="L176" s="1"/>
      <c r="M176" s="1"/>
      <c r="N176" s="1"/>
      <c r="O176" s="1"/>
      <c r="P176" s="1"/>
      <c r="Q176" s="1"/>
      <c r="R176" s="1"/>
      <c r="S176" s="1"/>
      <c r="T176" s="1"/>
      <c r="U176" s="1"/>
      <c r="V176" s="1"/>
      <c r="W176" s="1"/>
      <c r="X176" s="1"/>
      <c r="Y176" s="1"/>
    </row>
    <row r="177" spans="1:25" ht="33.75" customHeight="1">
      <c r="A177" s="1"/>
      <c r="B177" s="15"/>
      <c r="C177" s="9"/>
      <c r="D177" s="3"/>
      <c r="E177" s="3"/>
      <c r="F177" s="1"/>
      <c r="G177" s="1"/>
      <c r="H177" s="1"/>
      <c r="I177" s="1"/>
      <c r="J177" s="1"/>
      <c r="K177" s="1"/>
      <c r="L177" s="1"/>
      <c r="M177" s="1"/>
      <c r="N177" s="1"/>
      <c r="O177" s="1"/>
      <c r="P177" s="1"/>
      <c r="Q177" s="1"/>
      <c r="R177" s="1"/>
      <c r="S177" s="1"/>
      <c r="T177" s="1"/>
      <c r="U177" s="1"/>
      <c r="V177" s="1"/>
      <c r="W177" s="1"/>
      <c r="X177" s="1"/>
      <c r="Y177" s="1"/>
    </row>
    <row r="178" spans="1:25" ht="33.75" customHeight="1">
      <c r="A178" s="1"/>
      <c r="B178" s="15"/>
      <c r="C178" s="9"/>
      <c r="D178" s="3"/>
      <c r="E178" s="3"/>
      <c r="F178" s="1"/>
      <c r="G178" s="1"/>
      <c r="H178" s="1"/>
      <c r="I178" s="1"/>
      <c r="J178" s="1"/>
      <c r="K178" s="1"/>
      <c r="L178" s="1"/>
      <c r="M178" s="1"/>
      <c r="N178" s="1"/>
      <c r="O178" s="1"/>
      <c r="P178" s="1"/>
      <c r="Q178" s="1"/>
      <c r="R178" s="1"/>
      <c r="S178" s="1"/>
      <c r="T178" s="1"/>
      <c r="U178" s="1"/>
      <c r="V178" s="1"/>
      <c r="W178" s="1"/>
      <c r="X178" s="1"/>
      <c r="Y178" s="1"/>
    </row>
    <row r="179" spans="1:25" ht="33.75" customHeight="1">
      <c r="A179" s="1"/>
      <c r="B179" s="15"/>
      <c r="C179" s="9"/>
      <c r="D179" s="3"/>
      <c r="E179" s="3"/>
      <c r="F179" s="1"/>
      <c r="G179" s="1"/>
      <c r="H179" s="1"/>
      <c r="I179" s="1"/>
      <c r="J179" s="1"/>
      <c r="K179" s="1"/>
      <c r="L179" s="1"/>
      <c r="M179" s="1"/>
      <c r="N179" s="1"/>
      <c r="O179" s="1"/>
      <c r="P179" s="1"/>
      <c r="Q179" s="1"/>
      <c r="R179" s="1"/>
      <c r="S179" s="1"/>
      <c r="T179" s="1"/>
      <c r="U179" s="1"/>
      <c r="V179" s="1"/>
      <c r="W179" s="1"/>
      <c r="X179" s="1"/>
      <c r="Y179" s="1"/>
    </row>
    <row r="180" spans="1:25" ht="33.75" customHeight="1">
      <c r="A180" s="1"/>
      <c r="B180" s="15"/>
      <c r="C180" s="9"/>
      <c r="D180" s="3"/>
      <c r="E180" s="3"/>
      <c r="F180" s="1"/>
      <c r="G180" s="1"/>
      <c r="H180" s="1"/>
      <c r="I180" s="1"/>
      <c r="J180" s="1"/>
      <c r="K180" s="1"/>
      <c r="L180" s="1"/>
      <c r="M180" s="1"/>
      <c r="N180" s="1"/>
      <c r="O180" s="1"/>
      <c r="P180" s="1"/>
      <c r="Q180" s="1"/>
      <c r="R180" s="1"/>
      <c r="S180" s="1"/>
      <c r="T180" s="1"/>
      <c r="U180" s="1"/>
      <c r="V180" s="1"/>
      <c r="W180" s="1"/>
      <c r="X180" s="1"/>
      <c r="Y180" s="1"/>
    </row>
    <row r="181" spans="1:25" ht="33.75" customHeight="1">
      <c r="A181" s="1"/>
      <c r="B181" s="15"/>
      <c r="C181" s="9"/>
      <c r="D181" s="3"/>
      <c r="E181" s="3"/>
      <c r="F181" s="1"/>
      <c r="G181" s="1"/>
      <c r="H181" s="1"/>
      <c r="I181" s="1"/>
      <c r="J181" s="1"/>
      <c r="K181" s="1"/>
      <c r="L181" s="1"/>
      <c r="M181" s="1"/>
      <c r="N181" s="1"/>
      <c r="O181" s="1"/>
      <c r="P181" s="1"/>
      <c r="Q181" s="1"/>
      <c r="R181" s="1"/>
      <c r="S181" s="1"/>
      <c r="T181" s="1"/>
      <c r="U181" s="1"/>
      <c r="V181" s="1"/>
      <c r="W181" s="1"/>
      <c r="X181" s="1"/>
      <c r="Y181" s="1"/>
    </row>
    <row r="182" spans="1:25" ht="33.75" customHeight="1">
      <c r="A182" s="1"/>
      <c r="B182" s="15"/>
      <c r="C182" s="9"/>
      <c r="D182" s="3"/>
      <c r="E182" s="3"/>
      <c r="F182" s="1"/>
      <c r="G182" s="1"/>
      <c r="H182" s="1"/>
      <c r="I182" s="1"/>
      <c r="J182" s="1"/>
      <c r="K182" s="1"/>
      <c r="L182" s="1"/>
      <c r="M182" s="1"/>
      <c r="N182" s="1"/>
      <c r="O182" s="1"/>
      <c r="P182" s="1"/>
      <c r="Q182" s="1"/>
      <c r="R182" s="1"/>
      <c r="S182" s="1"/>
      <c r="T182" s="1"/>
      <c r="U182" s="1"/>
      <c r="V182" s="1"/>
      <c r="W182" s="1"/>
      <c r="X182" s="1"/>
      <c r="Y182" s="1"/>
    </row>
    <row r="183" spans="1:25" ht="33.75" customHeight="1">
      <c r="A183" s="1"/>
      <c r="B183" s="15"/>
      <c r="C183" s="9"/>
      <c r="D183" s="3"/>
      <c r="E183" s="3"/>
      <c r="F183" s="1"/>
      <c r="G183" s="1"/>
      <c r="H183" s="1"/>
      <c r="I183" s="1"/>
      <c r="J183" s="1"/>
      <c r="K183" s="1"/>
      <c r="L183" s="1"/>
      <c r="M183" s="1"/>
      <c r="N183" s="1"/>
      <c r="O183" s="1"/>
      <c r="P183" s="1"/>
      <c r="Q183" s="1"/>
      <c r="R183" s="1"/>
      <c r="S183" s="1"/>
      <c r="T183" s="1"/>
      <c r="U183" s="1"/>
      <c r="V183" s="1"/>
      <c r="W183" s="1"/>
      <c r="X183" s="1"/>
      <c r="Y183" s="1"/>
    </row>
    <row r="184" spans="1:25" ht="33.75" customHeight="1">
      <c r="A184" s="1"/>
      <c r="B184" s="15"/>
      <c r="C184" s="9"/>
      <c r="D184" s="3"/>
      <c r="E184" s="3"/>
      <c r="F184" s="1"/>
      <c r="G184" s="1"/>
      <c r="H184" s="1"/>
      <c r="I184" s="1"/>
      <c r="J184" s="1"/>
      <c r="K184" s="1"/>
      <c r="L184" s="1"/>
      <c r="M184" s="1"/>
      <c r="N184" s="1"/>
      <c r="O184" s="1"/>
      <c r="P184" s="1"/>
      <c r="Q184" s="1"/>
      <c r="R184" s="1"/>
      <c r="S184" s="1"/>
      <c r="T184" s="1"/>
      <c r="U184" s="1"/>
      <c r="V184" s="1"/>
      <c r="W184" s="1"/>
      <c r="X184" s="1"/>
      <c r="Y184" s="1"/>
    </row>
    <row r="185" spans="1:25" ht="33.75" customHeight="1">
      <c r="A185" s="1"/>
      <c r="B185" s="15"/>
      <c r="C185" s="9"/>
      <c r="D185" s="3"/>
      <c r="E185" s="3"/>
      <c r="F185" s="1"/>
      <c r="G185" s="1"/>
      <c r="H185" s="1"/>
      <c r="I185" s="1"/>
      <c r="J185" s="1"/>
      <c r="K185" s="1"/>
      <c r="L185" s="1"/>
      <c r="M185" s="1"/>
      <c r="N185" s="1"/>
      <c r="O185" s="1"/>
      <c r="P185" s="1"/>
      <c r="Q185" s="1"/>
      <c r="R185" s="1"/>
      <c r="S185" s="1"/>
      <c r="T185" s="1"/>
      <c r="U185" s="1"/>
      <c r="V185" s="1"/>
      <c r="W185" s="1"/>
      <c r="X185" s="1"/>
      <c r="Y185" s="1"/>
    </row>
    <row r="186" spans="1:25" ht="33.75" customHeight="1">
      <c r="A186" s="1"/>
      <c r="B186" s="15"/>
      <c r="C186" s="9"/>
      <c r="D186" s="3"/>
      <c r="E186" s="3"/>
      <c r="F186" s="1"/>
      <c r="G186" s="1"/>
      <c r="H186" s="1"/>
      <c r="I186" s="1"/>
      <c r="J186" s="1"/>
      <c r="K186" s="1"/>
      <c r="L186" s="1"/>
      <c r="M186" s="1"/>
      <c r="N186" s="1"/>
      <c r="O186" s="1"/>
      <c r="P186" s="1"/>
      <c r="Q186" s="1"/>
      <c r="R186" s="1"/>
      <c r="S186" s="1"/>
      <c r="T186" s="1"/>
      <c r="U186" s="1"/>
      <c r="V186" s="1"/>
      <c r="W186" s="1"/>
      <c r="X186" s="1"/>
      <c r="Y186" s="1"/>
    </row>
    <row r="187" spans="1:25" ht="33.75" customHeight="1">
      <c r="A187" s="1"/>
      <c r="B187" s="15"/>
      <c r="C187" s="9"/>
      <c r="D187" s="3"/>
      <c r="E187" s="3"/>
      <c r="F187" s="1"/>
      <c r="G187" s="1"/>
      <c r="H187" s="1"/>
      <c r="I187" s="1"/>
      <c r="J187" s="1"/>
      <c r="K187" s="1"/>
      <c r="L187" s="1"/>
      <c r="M187" s="1"/>
      <c r="N187" s="1"/>
      <c r="O187" s="1"/>
      <c r="P187" s="1"/>
      <c r="Q187" s="1"/>
      <c r="R187" s="1"/>
      <c r="S187" s="1"/>
      <c r="T187" s="1"/>
      <c r="U187" s="1"/>
      <c r="V187" s="1"/>
      <c r="W187" s="1"/>
      <c r="X187" s="1"/>
      <c r="Y187" s="1"/>
    </row>
    <row r="188" spans="1:25" ht="33.75" customHeight="1">
      <c r="A188" s="1"/>
      <c r="B188" s="15"/>
      <c r="C188" s="9"/>
      <c r="D188" s="3"/>
      <c r="E188" s="3"/>
      <c r="F188" s="1"/>
      <c r="G188" s="1"/>
      <c r="H188" s="1"/>
      <c r="I188" s="1"/>
      <c r="J188" s="1"/>
      <c r="K188" s="1"/>
      <c r="L188" s="1"/>
      <c r="M188" s="1"/>
      <c r="N188" s="1"/>
      <c r="O188" s="1"/>
      <c r="P188" s="1"/>
      <c r="Q188" s="1"/>
      <c r="R188" s="1"/>
      <c r="S188" s="1"/>
      <c r="T188" s="1"/>
      <c r="U188" s="1"/>
      <c r="V188" s="1"/>
      <c r="W188" s="1"/>
      <c r="X188" s="1"/>
      <c r="Y188" s="1"/>
    </row>
    <row r="189" spans="1:25" ht="33.75" customHeight="1">
      <c r="A189" s="1"/>
      <c r="B189" s="15"/>
      <c r="C189" s="9"/>
      <c r="D189" s="3"/>
      <c r="E189" s="3"/>
      <c r="F189" s="1"/>
      <c r="G189" s="1"/>
      <c r="H189" s="1"/>
      <c r="I189" s="1"/>
      <c r="J189" s="1"/>
      <c r="K189" s="1"/>
      <c r="L189" s="1"/>
      <c r="M189" s="1"/>
      <c r="N189" s="1"/>
      <c r="O189" s="1"/>
      <c r="P189" s="1"/>
      <c r="Q189" s="1"/>
      <c r="R189" s="1"/>
      <c r="S189" s="1"/>
      <c r="T189" s="1"/>
      <c r="U189" s="1"/>
      <c r="V189" s="1"/>
      <c r="W189" s="1"/>
      <c r="X189" s="1"/>
      <c r="Y189" s="1"/>
    </row>
    <row r="190" spans="1:25" ht="33.75" customHeight="1">
      <c r="A190" s="1"/>
      <c r="B190" s="15"/>
      <c r="C190" s="9"/>
      <c r="D190" s="3"/>
      <c r="E190" s="3"/>
      <c r="F190" s="1"/>
      <c r="G190" s="1"/>
      <c r="H190" s="1"/>
      <c r="I190" s="1"/>
      <c r="J190" s="1"/>
      <c r="K190" s="1"/>
      <c r="L190" s="1"/>
      <c r="M190" s="1"/>
      <c r="N190" s="1"/>
      <c r="O190" s="1"/>
      <c r="P190" s="1"/>
      <c r="Q190" s="1"/>
      <c r="R190" s="1"/>
      <c r="S190" s="1"/>
      <c r="T190" s="1"/>
      <c r="U190" s="1"/>
      <c r="V190" s="1"/>
      <c r="W190" s="1"/>
      <c r="X190" s="1"/>
      <c r="Y190" s="1"/>
    </row>
    <row r="191" spans="1:25" ht="33.75" customHeight="1">
      <c r="A191" s="1"/>
      <c r="B191" s="15"/>
      <c r="C191" s="9"/>
      <c r="D191" s="3"/>
      <c r="E191" s="3"/>
      <c r="F191" s="1"/>
      <c r="G191" s="1"/>
      <c r="H191" s="1"/>
      <c r="I191" s="1"/>
      <c r="J191" s="1"/>
      <c r="K191" s="1"/>
      <c r="L191" s="1"/>
      <c r="M191" s="1"/>
      <c r="N191" s="1"/>
      <c r="O191" s="1"/>
      <c r="P191" s="1"/>
      <c r="Q191" s="1"/>
      <c r="R191" s="1"/>
      <c r="S191" s="1"/>
      <c r="T191" s="1"/>
      <c r="U191" s="1"/>
      <c r="V191" s="1"/>
      <c r="W191" s="1"/>
      <c r="X191" s="1"/>
      <c r="Y191" s="1"/>
    </row>
    <row r="192" spans="1:25" ht="33.75" customHeight="1">
      <c r="A192" s="1"/>
      <c r="B192" s="15"/>
      <c r="C192" s="9"/>
      <c r="D192" s="3"/>
      <c r="E192" s="3"/>
      <c r="F192" s="1"/>
      <c r="G192" s="1"/>
      <c r="H192" s="1"/>
      <c r="I192" s="1"/>
      <c r="J192" s="1"/>
      <c r="K192" s="1"/>
      <c r="L192" s="1"/>
      <c r="M192" s="1"/>
      <c r="N192" s="1"/>
      <c r="O192" s="1"/>
      <c r="P192" s="1"/>
      <c r="Q192" s="1"/>
      <c r="R192" s="1"/>
      <c r="S192" s="1"/>
      <c r="T192" s="1"/>
      <c r="U192" s="1"/>
      <c r="V192" s="1"/>
      <c r="W192" s="1"/>
      <c r="X192" s="1"/>
      <c r="Y192" s="1"/>
    </row>
    <row r="193" spans="1:25" ht="33.75" customHeight="1">
      <c r="A193" s="1"/>
      <c r="B193" s="15"/>
      <c r="C193" s="9"/>
      <c r="D193" s="3"/>
      <c r="E193" s="3"/>
      <c r="F193" s="1"/>
      <c r="G193" s="1"/>
      <c r="H193" s="1"/>
      <c r="I193" s="1"/>
      <c r="J193" s="1"/>
      <c r="K193" s="1"/>
      <c r="L193" s="1"/>
      <c r="M193" s="1"/>
      <c r="N193" s="1"/>
      <c r="O193" s="1"/>
      <c r="P193" s="1"/>
      <c r="Q193" s="1"/>
      <c r="R193" s="1"/>
      <c r="S193" s="1"/>
      <c r="T193" s="1"/>
      <c r="U193" s="1"/>
      <c r="V193" s="1"/>
      <c r="W193" s="1"/>
      <c r="X193" s="1"/>
      <c r="Y193" s="1"/>
    </row>
    <row r="194" spans="1:25" ht="33.75" customHeight="1">
      <c r="A194" s="1"/>
      <c r="B194" s="15"/>
      <c r="C194" s="9"/>
      <c r="D194" s="3"/>
      <c r="E194" s="3"/>
      <c r="F194" s="1"/>
      <c r="G194" s="1"/>
      <c r="H194" s="1"/>
      <c r="I194" s="1"/>
      <c r="J194" s="1"/>
      <c r="K194" s="1"/>
      <c r="L194" s="1"/>
      <c r="M194" s="1"/>
      <c r="N194" s="1"/>
      <c r="O194" s="1"/>
      <c r="P194" s="1"/>
      <c r="Q194" s="1"/>
      <c r="R194" s="1"/>
      <c r="S194" s="1"/>
      <c r="T194" s="1"/>
      <c r="U194" s="1"/>
      <c r="V194" s="1"/>
      <c r="W194" s="1"/>
      <c r="X194" s="1"/>
      <c r="Y194" s="1"/>
    </row>
    <row r="195" spans="1:25" ht="33.75" customHeight="1">
      <c r="A195" s="1"/>
      <c r="B195" s="15"/>
      <c r="C195" s="9"/>
      <c r="D195" s="3"/>
      <c r="E195" s="3"/>
      <c r="F195" s="1"/>
      <c r="G195" s="1"/>
      <c r="H195" s="1"/>
      <c r="I195" s="1"/>
      <c r="J195" s="1"/>
      <c r="K195" s="1"/>
      <c r="L195" s="1"/>
      <c r="M195" s="1"/>
      <c r="N195" s="1"/>
      <c r="O195" s="1"/>
      <c r="P195" s="1"/>
      <c r="Q195" s="1"/>
      <c r="R195" s="1"/>
      <c r="S195" s="1"/>
      <c r="T195" s="1"/>
      <c r="U195" s="1"/>
      <c r="V195" s="1"/>
      <c r="W195" s="1"/>
      <c r="X195" s="1"/>
      <c r="Y195" s="1"/>
    </row>
    <row r="196" spans="1:25" ht="33.75" customHeight="1">
      <c r="A196" s="1"/>
      <c r="B196" s="15"/>
      <c r="C196" s="9"/>
      <c r="D196" s="3"/>
      <c r="E196" s="3"/>
      <c r="F196" s="1"/>
      <c r="G196" s="1"/>
      <c r="H196" s="1"/>
      <c r="I196" s="1"/>
      <c r="J196" s="1"/>
      <c r="K196" s="1"/>
      <c r="L196" s="1"/>
      <c r="M196" s="1"/>
      <c r="N196" s="1"/>
      <c r="O196" s="1"/>
      <c r="P196" s="1"/>
      <c r="Q196" s="1"/>
      <c r="R196" s="1"/>
      <c r="S196" s="1"/>
      <c r="T196" s="1"/>
      <c r="U196" s="1"/>
      <c r="V196" s="1"/>
      <c r="W196" s="1"/>
      <c r="X196" s="1"/>
      <c r="Y196" s="1"/>
    </row>
    <row r="197" spans="1:25" ht="33.75" customHeight="1">
      <c r="A197" s="1"/>
      <c r="B197" s="15"/>
      <c r="C197" s="9"/>
      <c r="D197" s="3"/>
      <c r="E197" s="3"/>
      <c r="F197" s="1"/>
      <c r="G197" s="1"/>
      <c r="H197" s="1"/>
      <c r="I197" s="1"/>
      <c r="J197" s="1"/>
      <c r="K197" s="1"/>
      <c r="L197" s="1"/>
      <c r="M197" s="1"/>
      <c r="N197" s="1"/>
      <c r="O197" s="1"/>
      <c r="P197" s="1"/>
      <c r="Q197" s="1"/>
      <c r="R197" s="1"/>
      <c r="S197" s="1"/>
      <c r="T197" s="1"/>
      <c r="U197" s="1"/>
      <c r="V197" s="1"/>
      <c r="W197" s="1"/>
      <c r="X197" s="1"/>
      <c r="Y197" s="1"/>
    </row>
    <row r="198" spans="1:25" ht="33.75" customHeight="1">
      <c r="A198" s="1"/>
      <c r="B198" s="15"/>
      <c r="C198" s="9"/>
      <c r="D198" s="3"/>
      <c r="E198" s="3"/>
      <c r="F198" s="1"/>
      <c r="G198" s="1"/>
      <c r="H198" s="1"/>
      <c r="I198" s="1"/>
      <c r="J198" s="1"/>
      <c r="K198" s="1"/>
      <c r="L198" s="1"/>
      <c r="M198" s="1"/>
      <c r="N198" s="1"/>
      <c r="O198" s="1"/>
      <c r="P198" s="1"/>
      <c r="Q198" s="1"/>
      <c r="R198" s="1"/>
      <c r="S198" s="1"/>
      <c r="T198" s="1"/>
      <c r="U198" s="1"/>
      <c r="V198" s="1"/>
      <c r="W198" s="1"/>
      <c r="X198" s="1"/>
      <c r="Y198" s="1"/>
    </row>
    <row r="199" spans="1:25" ht="33.75" customHeight="1">
      <c r="A199" s="1"/>
      <c r="B199" s="15"/>
      <c r="C199" s="9"/>
      <c r="D199" s="3"/>
      <c r="E199" s="3"/>
      <c r="F199" s="1"/>
      <c r="G199" s="1"/>
      <c r="H199" s="1"/>
      <c r="I199" s="1"/>
      <c r="J199" s="1"/>
      <c r="K199" s="1"/>
      <c r="L199" s="1"/>
      <c r="M199" s="1"/>
      <c r="N199" s="1"/>
      <c r="O199" s="1"/>
      <c r="P199" s="1"/>
      <c r="Q199" s="1"/>
      <c r="R199" s="1"/>
      <c r="S199" s="1"/>
      <c r="T199" s="1"/>
      <c r="U199" s="1"/>
      <c r="V199" s="1"/>
      <c r="W199" s="1"/>
      <c r="X199" s="1"/>
      <c r="Y199" s="1"/>
    </row>
    <row r="200" spans="1:25" ht="33.75" customHeight="1">
      <c r="A200" s="1"/>
      <c r="B200" s="15"/>
      <c r="C200" s="9"/>
      <c r="D200" s="3"/>
      <c r="E200" s="3"/>
      <c r="F200" s="1"/>
      <c r="G200" s="1"/>
      <c r="H200" s="1"/>
      <c r="I200" s="1"/>
      <c r="J200" s="1"/>
      <c r="K200" s="1"/>
      <c r="L200" s="1"/>
      <c r="M200" s="1"/>
      <c r="N200" s="1"/>
      <c r="O200" s="1"/>
      <c r="P200" s="1"/>
      <c r="Q200" s="1"/>
      <c r="R200" s="1"/>
      <c r="S200" s="1"/>
      <c r="T200" s="1"/>
      <c r="U200" s="1"/>
      <c r="V200" s="1"/>
      <c r="W200" s="1"/>
      <c r="X200" s="1"/>
      <c r="Y200" s="1"/>
    </row>
    <row r="201" spans="1:25" ht="33.75" customHeight="1">
      <c r="A201" s="1"/>
      <c r="B201" s="15"/>
      <c r="C201" s="9"/>
      <c r="D201" s="3"/>
      <c r="E201" s="3"/>
      <c r="F201" s="1"/>
      <c r="G201" s="1"/>
      <c r="H201" s="1"/>
      <c r="I201" s="1"/>
      <c r="J201" s="1"/>
      <c r="K201" s="1"/>
      <c r="L201" s="1"/>
      <c r="M201" s="1"/>
      <c r="N201" s="1"/>
      <c r="O201" s="1"/>
      <c r="P201" s="1"/>
      <c r="Q201" s="1"/>
      <c r="R201" s="1"/>
      <c r="S201" s="1"/>
      <c r="T201" s="1"/>
      <c r="U201" s="1"/>
      <c r="V201" s="1"/>
      <c r="W201" s="1"/>
      <c r="X201" s="1"/>
      <c r="Y201" s="1"/>
    </row>
    <row r="202" spans="1:25" ht="33.75" customHeight="1">
      <c r="A202" s="1"/>
      <c r="B202" s="15"/>
      <c r="C202" s="9"/>
      <c r="D202" s="3"/>
      <c r="E202" s="3"/>
      <c r="F202" s="1"/>
      <c r="G202" s="1"/>
      <c r="H202" s="1"/>
      <c r="I202" s="1"/>
      <c r="J202" s="1"/>
      <c r="K202" s="1"/>
      <c r="L202" s="1"/>
      <c r="M202" s="1"/>
      <c r="N202" s="1"/>
      <c r="O202" s="1"/>
      <c r="P202" s="1"/>
      <c r="Q202" s="1"/>
      <c r="R202" s="1"/>
      <c r="S202" s="1"/>
      <c r="T202" s="1"/>
      <c r="U202" s="1"/>
      <c r="V202" s="1"/>
      <c r="W202" s="1"/>
      <c r="X202" s="1"/>
      <c r="Y202" s="1"/>
    </row>
    <row r="203" spans="1:25" ht="33.75" customHeight="1">
      <c r="A203" s="1"/>
      <c r="B203" s="15"/>
      <c r="C203" s="9"/>
      <c r="D203" s="3"/>
      <c r="E203" s="3"/>
      <c r="F203" s="1"/>
      <c r="G203" s="1"/>
      <c r="H203" s="1"/>
      <c r="I203" s="1"/>
      <c r="J203" s="1"/>
      <c r="K203" s="1"/>
      <c r="L203" s="1"/>
      <c r="M203" s="1"/>
      <c r="N203" s="1"/>
      <c r="O203" s="1"/>
      <c r="P203" s="1"/>
      <c r="Q203" s="1"/>
      <c r="R203" s="1"/>
      <c r="S203" s="1"/>
      <c r="T203" s="1"/>
      <c r="U203" s="1"/>
      <c r="V203" s="1"/>
      <c r="W203" s="1"/>
      <c r="X203" s="1"/>
      <c r="Y203" s="1"/>
    </row>
    <row r="204" spans="1:25" ht="33.75" customHeight="1">
      <c r="A204" s="1"/>
      <c r="B204" s="15"/>
      <c r="C204" s="9"/>
      <c r="D204" s="3"/>
      <c r="E204" s="3"/>
      <c r="F204" s="1"/>
      <c r="G204" s="1"/>
      <c r="H204" s="1"/>
      <c r="I204" s="1"/>
      <c r="J204" s="1"/>
      <c r="K204" s="1"/>
      <c r="L204" s="1"/>
      <c r="M204" s="1"/>
      <c r="N204" s="1"/>
      <c r="O204" s="1"/>
      <c r="P204" s="1"/>
      <c r="Q204" s="1"/>
      <c r="R204" s="1"/>
      <c r="S204" s="1"/>
      <c r="T204" s="1"/>
      <c r="U204" s="1"/>
      <c r="V204" s="1"/>
      <c r="W204" s="1"/>
      <c r="X204" s="1"/>
      <c r="Y204" s="1"/>
    </row>
    <row r="205" spans="1:25" ht="33.75" customHeight="1">
      <c r="A205" s="1"/>
      <c r="B205" s="15"/>
      <c r="C205" s="9"/>
      <c r="D205" s="3"/>
      <c r="E205" s="3"/>
      <c r="F205" s="1"/>
      <c r="G205" s="1"/>
      <c r="H205" s="1"/>
      <c r="I205" s="1"/>
      <c r="J205" s="1"/>
      <c r="K205" s="1"/>
      <c r="L205" s="1"/>
      <c r="M205" s="1"/>
      <c r="N205" s="1"/>
      <c r="O205" s="1"/>
      <c r="P205" s="1"/>
      <c r="Q205" s="1"/>
      <c r="R205" s="1"/>
      <c r="S205" s="1"/>
      <c r="T205" s="1"/>
      <c r="U205" s="1"/>
      <c r="V205" s="1"/>
      <c r="W205" s="1"/>
      <c r="X205" s="1"/>
      <c r="Y205" s="1"/>
    </row>
    <row r="206" spans="1:25" ht="33.75" customHeight="1">
      <c r="A206" s="1"/>
      <c r="B206" s="15"/>
      <c r="C206" s="9"/>
      <c r="D206" s="3"/>
      <c r="E206" s="3"/>
      <c r="F206" s="1"/>
      <c r="G206" s="1"/>
      <c r="H206" s="1"/>
      <c r="I206" s="1"/>
      <c r="J206" s="1"/>
      <c r="K206" s="1"/>
      <c r="L206" s="1"/>
      <c r="M206" s="1"/>
      <c r="N206" s="1"/>
      <c r="O206" s="1"/>
      <c r="P206" s="1"/>
      <c r="Q206" s="1"/>
      <c r="R206" s="1"/>
      <c r="S206" s="1"/>
      <c r="T206" s="1"/>
      <c r="U206" s="1"/>
      <c r="V206" s="1"/>
      <c r="W206" s="1"/>
      <c r="X206" s="1"/>
      <c r="Y206" s="1"/>
    </row>
    <row r="207" spans="1:25" ht="33.75" customHeight="1">
      <c r="A207" s="1"/>
      <c r="B207" s="15"/>
      <c r="C207" s="9"/>
      <c r="D207" s="3"/>
      <c r="E207" s="3"/>
      <c r="F207" s="1"/>
      <c r="G207" s="1"/>
      <c r="H207" s="1"/>
      <c r="I207" s="1"/>
      <c r="J207" s="1"/>
      <c r="K207" s="1"/>
      <c r="L207" s="1"/>
      <c r="M207" s="1"/>
      <c r="N207" s="1"/>
      <c r="O207" s="1"/>
      <c r="P207" s="1"/>
      <c r="Q207" s="1"/>
      <c r="R207" s="1"/>
      <c r="S207" s="1"/>
      <c r="T207" s="1"/>
      <c r="U207" s="1"/>
      <c r="V207" s="1"/>
      <c r="W207" s="1"/>
      <c r="X207" s="1"/>
      <c r="Y207" s="1"/>
    </row>
    <row r="208" spans="1:25" ht="33.75" customHeight="1">
      <c r="A208" s="1"/>
      <c r="B208" s="15"/>
      <c r="C208" s="9"/>
      <c r="D208" s="3"/>
      <c r="E208" s="3"/>
      <c r="F208" s="1"/>
      <c r="G208" s="1"/>
      <c r="H208" s="1"/>
      <c r="I208" s="1"/>
      <c r="J208" s="1"/>
      <c r="K208" s="1"/>
      <c r="L208" s="1"/>
      <c r="M208" s="1"/>
      <c r="N208" s="1"/>
      <c r="O208" s="1"/>
      <c r="P208" s="1"/>
      <c r="Q208" s="1"/>
      <c r="R208" s="1"/>
      <c r="S208" s="1"/>
      <c r="T208" s="1"/>
      <c r="U208" s="1"/>
      <c r="V208" s="1"/>
      <c r="W208" s="1"/>
      <c r="X208" s="1"/>
      <c r="Y208" s="1"/>
    </row>
    <row r="209" spans="1:25" ht="33.75" customHeight="1">
      <c r="A209" s="1"/>
      <c r="B209" s="15"/>
      <c r="C209" s="9"/>
      <c r="D209" s="3"/>
      <c r="E209" s="3"/>
      <c r="F209" s="1"/>
      <c r="G209" s="1"/>
      <c r="H209" s="1"/>
      <c r="I209" s="1"/>
      <c r="J209" s="1"/>
      <c r="K209" s="1"/>
      <c r="L209" s="1"/>
      <c r="M209" s="1"/>
      <c r="N209" s="1"/>
      <c r="O209" s="1"/>
      <c r="P209" s="1"/>
      <c r="Q209" s="1"/>
      <c r="R209" s="1"/>
      <c r="S209" s="1"/>
      <c r="T209" s="1"/>
      <c r="U209" s="1"/>
      <c r="V209" s="1"/>
      <c r="W209" s="1"/>
      <c r="X209" s="1"/>
      <c r="Y209" s="1"/>
    </row>
    <row r="210" spans="1:25" ht="33.75" customHeight="1">
      <c r="A210" s="1"/>
      <c r="B210" s="15"/>
      <c r="C210" s="9"/>
      <c r="D210" s="3"/>
      <c r="E210" s="3"/>
      <c r="F210" s="1"/>
      <c r="G210" s="1"/>
      <c r="H210" s="1"/>
      <c r="I210" s="1"/>
      <c r="J210" s="1"/>
      <c r="K210" s="1"/>
      <c r="L210" s="1"/>
      <c r="M210" s="1"/>
      <c r="N210" s="1"/>
      <c r="O210" s="1"/>
      <c r="P210" s="1"/>
      <c r="Q210" s="1"/>
      <c r="R210" s="1"/>
      <c r="S210" s="1"/>
      <c r="T210" s="1"/>
      <c r="U210" s="1"/>
      <c r="V210" s="1"/>
      <c r="W210" s="1"/>
      <c r="X210" s="1"/>
      <c r="Y210" s="1"/>
    </row>
    <row r="211" spans="1:25" ht="33.75" customHeight="1">
      <c r="A211" s="1"/>
      <c r="B211" s="15"/>
      <c r="C211" s="9"/>
      <c r="D211" s="3"/>
      <c r="E211" s="3"/>
      <c r="F211" s="1"/>
      <c r="G211" s="1"/>
      <c r="H211" s="1"/>
      <c r="I211" s="1"/>
      <c r="J211" s="1"/>
      <c r="K211" s="1"/>
      <c r="L211" s="1"/>
      <c r="M211" s="1"/>
      <c r="N211" s="1"/>
      <c r="O211" s="1"/>
      <c r="P211" s="1"/>
      <c r="Q211" s="1"/>
      <c r="R211" s="1"/>
      <c r="S211" s="1"/>
      <c r="T211" s="1"/>
      <c r="U211" s="1"/>
      <c r="V211" s="1"/>
      <c r="W211" s="1"/>
      <c r="X211" s="1"/>
      <c r="Y211" s="1"/>
    </row>
    <row r="212" spans="1:25" ht="33.75" customHeight="1">
      <c r="A212" s="1"/>
      <c r="B212" s="15"/>
      <c r="C212" s="9"/>
      <c r="D212" s="3"/>
      <c r="E212" s="3"/>
      <c r="F212" s="1"/>
      <c r="G212" s="1"/>
      <c r="H212" s="1"/>
      <c r="I212" s="1"/>
      <c r="J212" s="1"/>
      <c r="K212" s="1"/>
      <c r="L212" s="1"/>
      <c r="M212" s="1"/>
      <c r="N212" s="1"/>
      <c r="O212" s="1"/>
      <c r="P212" s="1"/>
      <c r="Q212" s="1"/>
      <c r="R212" s="1"/>
      <c r="S212" s="1"/>
      <c r="T212" s="1"/>
      <c r="U212" s="1"/>
      <c r="V212" s="1"/>
      <c r="W212" s="1"/>
      <c r="X212" s="1"/>
      <c r="Y212" s="1"/>
    </row>
    <row r="213" spans="1:25" ht="33.75" customHeight="1">
      <c r="A213" s="1"/>
      <c r="B213" s="15"/>
      <c r="C213" s="9"/>
      <c r="D213" s="3"/>
      <c r="E213" s="3"/>
      <c r="F213" s="1"/>
      <c r="G213" s="1"/>
      <c r="H213" s="1"/>
      <c r="I213" s="1"/>
      <c r="J213" s="1"/>
      <c r="K213" s="1"/>
      <c r="L213" s="1"/>
      <c r="M213" s="1"/>
      <c r="N213" s="1"/>
      <c r="O213" s="1"/>
      <c r="P213" s="1"/>
      <c r="Q213" s="1"/>
      <c r="R213" s="1"/>
      <c r="S213" s="1"/>
      <c r="T213" s="1"/>
      <c r="U213" s="1"/>
      <c r="V213" s="1"/>
      <c r="W213" s="1"/>
      <c r="X213" s="1"/>
      <c r="Y213" s="1"/>
    </row>
    <row r="214" spans="1:25" ht="33.75" customHeight="1">
      <c r="A214" s="1"/>
      <c r="B214" s="15"/>
      <c r="C214" s="9"/>
      <c r="D214" s="3"/>
      <c r="E214" s="3"/>
      <c r="F214" s="1"/>
      <c r="G214" s="1"/>
      <c r="H214" s="1"/>
      <c r="I214" s="1"/>
      <c r="J214" s="1"/>
      <c r="K214" s="1"/>
      <c r="L214" s="1"/>
      <c r="M214" s="1"/>
      <c r="N214" s="1"/>
      <c r="O214" s="1"/>
      <c r="P214" s="1"/>
      <c r="Q214" s="1"/>
      <c r="R214" s="1"/>
      <c r="S214" s="1"/>
      <c r="T214" s="1"/>
      <c r="U214" s="1"/>
      <c r="V214" s="1"/>
      <c r="W214" s="1"/>
      <c r="X214" s="1"/>
      <c r="Y214" s="1"/>
    </row>
    <row r="215" spans="1:25" ht="33.75" customHeight="1">
      <c r="A215" s="1"/>
      <c r="B215" s="15"/>
      <c r="C215" s="9"/>
      <c r="D215" s="3"/>
      <c r="E215" s="3"/>
      <c r="F215" s="1"/>
      <c r="G215" s="1"/>
      <c r="H215" s="1"/>
      <c r="I215" s="1"/>
      <c r="J215" s="1"/>
      <c r="K215" s="1"/>
      <c r="L215" s="1"/>
      <c r="M215" s="1"/>
      <c r="N215" s="1"/>
      <c r="O215" s="1"/>
      <c r="P215" s="1"/>
      <c r="Q215" s="1"/>
      <c r="R215" s="1"/>
      <c r="S215" s="1"/>
      <c r="T215" s="1"/>
      <c r="U215" s="1"/>
      <c r="V215" s="1"/>
      <c r="W215" s="1"/>
      <c r="X215" s="1"/>
      <c r="Y215" s="1"/>
    </row>
    <row r="216" spans="1:25" ht="33.75" customHeight="1">
      <c r="A216" s="1"/>
      <c r="B216" s="15"/>
      <c r="C216" s="9"/>
      <c r="D216" s="3"/>
      <c r="E216" s="3"/>
      <c r="F216" s="1"/>
      <c r="G216" s="1"/>
      <c r="H216" s="1"/>
      <c r="I216" s="1"/>
      <c r="J216" s="1"/>
      <c r="K216" s="1"/>
      <c r="L216" s="1"/>
      <c r="M216" s="1"/>
      <c r="N216" s="1"/>
      <c r="O216" s="1"/>
      <c r="P216" s="1"/>
      <c r="Q216" s="1"/>
      <c r="R216" s="1"/>
      <c r="S216" s="1"/>
      <c r="T216" s="1"/>
      <c r="U216" s="1"/>
      <c r="V216" s="1"/>
      <c r="W216" s="1"/>
      <c r="X216" s="1"/>
      <c r="Y216" s="1"/>
    </row>
    <row r="217" spans="1:25" ht="33.75" customHeight="1">
      <c r="A217" s="1"/>
      <c r="B217" s="15"/>
      <c r="C217" s="9"/>
      <c r="D217" s="3"/>
      <c r="E217" s="3"/>
      <c r="F217" s="1"/>
      <c r="G217" s="1"/>
      <c r="H217" s="1"/>
      <c r="I217" s="1"/>
      <c r="J217" s="1"/>
      <c r="K217" s="1"/>
      <c r="L217" s="1"/>
      <c r="M217" s="1"/>
      <c r="N217" s="1"/>
      <c r="O217" s="1"/>
      <c r="P217" s="1"/>
      <c r="Q217" s="1"/>
      <c r="R217" s="1"/>
      <c r="S217" s="1"/>
      <c r="T217" s="1"/>
      <c r="U217" s="1"/>
      <c r="V217" s="1"/>
      <c r="W217" s="1"/>
      <c r="X217" s="1"/>
      <c r="Y217" s="1"/>
    </row>
    <row r="218" spans="1:25" ht="33.75" customHeight="1">
      <c r="A218" s="1"/>
      <c r="B218" s="15"/>
      <c r="C218" s="9"/>
      <c r="D218" s="3"/>
      <c r="E218" s="3"/>
      <c r="F218" s="1"/>
      <c r="G218" s="1"/>
      <c r="H218" s="1"/>
      <c r="I218" s="1"/>
      <c r="J218" s="1"/>
      <c r="K218" s="1"/>
      <c r="L218" s="1"/>
      <c r="M218" s="1"/>
      <c r="N218" s="1"/>
      <c r="O218" s="1"/>
      <c r="P218" s="1"/>
      <c r="Q218" s="1"/>
      <c r="R218" s="1"/>
      <c r="S218" s="1"/>
      <c r="T218" s="1"/>
      <c r="U218" s="1"/>
      <c r="V218" s="1"/>
      <c r="W218" s="1"/>
      <c r="X218" s="1"/>
      <c r="Y218" s="1"/>
    </row>
    <row r="219" spans="1:25" ht="33.75" customHeight="1">
      <c r="A219" s="1"/>
      <c r="B219" s="15"/>
      <c r="C219" s="9"/>
      <c r="D219" s="3"/>
      <c r="E219" s="3"/>
      <c r="F219" s="1"/>
      <c r="G219" s="1"/>
      <c r="H219" s="1"/>
      <c r="I219" s="1"/>
      <c r="J219" s="1"/>
      <c r="K219" s="1"/>
      <c r="L219" s="1"/>
      <c r="M219" s="1"/>
      <c r="N219" s="1"/>
      <c r="O219" s="1"/>
      <c r="P219" s="1"/>
      <c r="Q219" s="1"/>
      <c r="R219" s="1"/>
      <c r="S219" s="1"/>
      <c r="T219" s="1"/>
      <c r="U219" s="1"/>
      <c r="V219" s="1"/>
      <c r="W219" s="1"/>
      <c r="X219" s="1"/>
      <c r="Y219" s="1"/>
    </row>
    <row r="220" spans="1:25" ht="33.75" customHeight="1">
      <c r="A220" s="1"/>
      <c r="B220" s="15"/>
      <c r="C220" s="9"/>
      <c r="D220" s="3"/>
      <c r="E220" s="3"/>
      <c r="F220" s="1"/>
      <c r="G220" s="1"/>
      <c r="H220" s="1"/>
      <c r="I220" s="1"/>
      <c r="J220" s="1"/>
      <c r="K220" s="1"/>
      <c r="L220" s="1"/>
      <c r="M220" s="1"/>
      <c r="N220" s="1"/>
      <c r="O220" s="1"/>
      <c r="P220" s="1"/>
      <c r="Q220" s="1"/>
      <c r="R220" s="1"/>
      <c r="S220" s="1"/>
      <c r="T220" s="1"/>
      <c r="U220" s="1"/>
      <c r="V220" s="1"/>
      <c r="W220" s="1"/>
      <c r="X220" s="1"/>
      <c r="Y220" s="1"/>
    </row>
    <row r="221" spans="1:25" ht="33.75" customHeight="1">
      <c r="A221" s="1"/>
      <c r="B221" s="15"/>
      <c r="C221" s="9"/>
      <c r="D221" s="3"/>
      <c r="E221" s="3"/>
      <c r="F221" s="1"/>
      <c r="G221" s="1"/>
      <c r="H221" s="1"/>
      <c r="I221" s="1"/>
      <c r="J221" s="1"/>
      <c r="K221" s="1"/>
      <c r="L221" s="1"/>
      <c r="M221" s="1"/>
      <c r="N221" s="1"/>
      <c r="O221" s="1"/>
      <c r="P221" s="1"/>
      <c r="Q221" s="1"/>
      <c r="R221" s="1"/>
      <c r="S221" s="1"/>
      <c r="T221" s="1"/>
      <c r="U221" s="1"/>
      <c r="V221" s="1"/>
      <c r="W221" s="1"/>
      <c r="X221" s="1"/>
      <c r="Y221" s="1"/>
    </row>
    <row r="222" spans="1:25" ht="33.75" customHeight="1">
      <c r="A222" s="1"/>
      <c r="B222" s="15"/>
      <c r="C222" s="9"/>
      <c r="D222" s="3"/>
      <c r="E222" s="3"/>
      <c r="F222" s="1"/>
      <c r="G222" s="1"/>
      <c r="H222" s="1"/>
      <c r="I222" s="1"/>
      <c r="J222" s="1"/>
      <c r="K222" s="1"/>
      <c r="L222" s="1"/>
      <c r="M222" s="1"/>
      <c r="N222" s="1"/>
      <c r="O222" s="1"/>
      <c r="P222" s="1"/>
      <c r="Q222" s="1"/>
      <c r="R222" s="1"/>
      <c r="S222" s="1"/>
      <c r="T222" s="1"/>
      <c r="U222" s="1"/>
      <c r="V222" s="1"/>
      <c r="W222" s="1"/>
      <c r="X222" s="1"/>
      <c r="Y222" s="1"/>
    </row>
    <row r="223" spans="1:25" ht="33.75" customHeight="1">
      <c r="A223" s="1"/>
      <c r="B223" s="15"/>
      <c r="C223" s="9"/>
      <c r="D223" s="3"/>
      <c r="E223" s="3"/>
      <c r="F223" s="1"/>
      <c r="G223" s="1"/>
      <c r="H223" s="1"/>
      <c r="I223" s="1"/>
      <c r="J223" s="1"/>
      <c r="K223" s="1"/>
      <c r="L223" s="1"/>
      <c r="M223" s="1"/>
      <c r="N223" s="1"/>
      <c r="O223" s="1"/>
      <c r="P223" s="1"/>
      <c r="Q223" s="1"/>
      <c r="R223" s="1"/>
      <c r="S223" s="1"/>
      <c r="T223" s="1"/>
      <c r="U223" s="1"/>
      <c r="V223" s="1"/>
      <c r="W223" s="1"/>
      <c r="X223" s="1"/>
      <c r="Y223" s="1"/>
    </row>
    <row r="224" spans="1:25" ht="33.75" customHeight="1">
      <c r="A224" s="1"/>
      <c r="B224" s="15"/>
      <c r="C224" s="9"/>
      <c r="D224" s="3"/>
      <c r="E224" s="3"/>
      <c r="F224" s="1"/>
      <c r="G224" s="1"/>
      <c r="H224" s="1"/>
      <c r="I224" s="1"/>
      <c r="J224" s="1"/>
      <c r="K224" s="1"/>
      <c r="L224" s="1"/>
      <c r="M224" s="1"/>
      <c r="N224" s="1"/>
      <c r="O224" s="1"/>
      <c r="P224" s="1"/>
      <c r="Q224" s="1"/>
      <c r="R224" s="1"/>
      <c r="S224" s="1"/>
      <c r="T224" s="1"/>
      <c r="U224" s="1"/>
      <c r="V224" s="1"/>
      <c r="W224" s="1"/>
      <c r="X224" s="1"/>
      <c r="Y224" s="1"/>
    </row>
    <row r="225" spans="1:25" ht="33.75" customHeight="1">
      <c r="A225" s="1"/>
      <c r="B225" s="15"/>
      <c r="C225" s="9"/>
      <c r="D225" s="3"/>
      <c r="E225" s="3"/>
      <c r="F225" s="1"/>
      <c r="G225" s="1"/>
      <c r="H225" s="1"/>
      <c r="I225" s="1"/>
      <c r="J225" s="1"/>
      <c r="K225" s="1"/>
      <c r="L225" s="1"/>
      <c r="M225" s="1"/>
      <c r="N225" s="1"/>
      <c r="O225" s="1"/>
      <c r="P225" s="1"/>
      <c r="Q225" s="1"/>
      <c r="R225" s="1"/>
      <c r="S225" s="1"/>
      <c r="T225" s="1"/>
      <c r="U225" s="1"/>
      <c r="V225" s="1"/>
      <c r="W225" s="1"/>
      <c r="X225" s="1"/>
      <c r="Y225" s="1"/>
    </row>
    <row r="226" spans="1:25" ht="33.75" customHeight="1">
      <c r="A226" s="1"/>
      <c r="B226" s="15"/>
      <c r="C226" s="9"/>
      <c r="D226" s="3"/>
      <c r="E226" s="3"/>
      <c r="F226" s="1"/>
      <c r="G226" s="1"/>
      <c r="H226" s="1"/>
      <c r="I226" s="1"/>
      <c r="J226" s="1"/>
      <c r="K226" s="1"/>
      <c r="L226" s="1"/>
      <c r="M226" s="1"/>
      <c r="N226" s="1"/>
      <c r="O226" s="1"/>
      <c r="P226" s="1"/>
      <c r="Q226" s="1"/>
      <c r="R226" s="1"/>
      <c r="S226" s="1"/>
      <c r="T226" s="1"/>
      <c r="U226" s="1"/>
      <c r="V226" s="1"/>
      <c r="W226" s="1"/>
      <c r="X226" s="1"/>
      <c r="Y226" s="1"/>
    </row>
    <row r="227" spans="1:25" ht="33.75" customHeight="1">
      <c r="A227" s="1"/>
      <c r="B227" s="15"/>
      <c r="C227" s="9"/>
      <c r="D227" s="3"/>
      <c r="E227" s="3"/>
      <c r="F227" s="1"/>
      <c r="G227" s="1"/>
      <c r="H227" s="1"/>
      <c r="I227" s="1"/>
      <c r="J227" s="1"/>
      <c r="K227" s="1"/>
      <c r="L227" s="1"/>
      <c r="M227" s="1"/>
      <c r="N227" s="1"/>
      <c r="O227" s="1"/>
      <c r="P227" s="1"/>
      <c r="Q227" s="1"/>
      <c r="R227" s="1"/>
      <c r="S227" s="1"/>
      <c r="T227" s="1"/>
      <c r="U227" s="1"/>
      <c r="V227" s="1"/>
      <c r="W227" s="1"/>
      <c r="X227" s="1"/>
      <c r="Y227" s="1"/>
    </row>
    <row r="228" spans="1:25" ht="33.75" customHeight="1">
      <c r="A228" s="1"/>
      <c r="B228" s="15"/>
      <c r="C228" s="9"/>
      <c r="D228" s="3"/>
      <c r="E228" s="3"/>
      <c r="F228" s="1"/>
      <c r="G228" s="1"/>
      <c r="H228" s="1"/>
      <c r="I228" s="1"/>
      <c r="J228" s="1"/>
      <c r="K228" s="1"/>
      <c r="L228" s="1"/>
      <c r="M228" s="1"/>
      <c r="N228" s="1"/>
      <c r="O228" s="1"/>
      <c r="P228" s="1"/>
      <c r="Q228" s="1"/>
      <c r="R228" s="1"/>
      <c r="S228" s="1"/>
      <c r="T228" s="1"/>
      <c r="U228" s="1"/>
      <c r="V228" s="1"/>
      <c r="W228" s="1"/>
      <c r="X228" s="1"/>
      <c r="Y228" s="1"/>
    </row>
    <row r="229" spans="1:25" ht="33.75" customHeight="1">
      <c r="A229" s="1"/>
      <c r="B229" s="15"/>
      <c r="C229" s="9"/>
      <c r="D229" s="3"/>
      <c r="E229" s="3"/>
      <c r="F229" s="1"/>
      <c r="G229" s="1"/>
      <c r="H229" s="1"/>
      <c r="I229" s="1"/>
      <c r="J229" s="1"/>
      <c r="K229" s="1"/>
      <c r="L229" s="1"/>
      <c r="M229" s="1"/>
      <c r="N229" s="1"/>
      <c r="O229" s="1"/>
      <c r="P229" s="1"/>
      <c r="Q229" s="1"/>
      <c r="R229" s="1"/>
      <c r="S229" s="1"/>
      <c r="T229" s="1"/>
      <c r="U229" s="1"/>
      <c r="V229" s="1"/>
      <c r="W229" s="1"/>
      <c r="X229" s="1"/>
      <c r="Y229" s="1"/>
    </row>
    <row r="230" spans="1:25" ht="33.75" customHeight="1">
      <c r="A230" s="1"/>
      <c r="B230" s="15"/>
      <c r="C230" s="9"/>
      <c r="D230" s="3"/>
      <c r="E230" s="3"/>
      <c r="F230" s="1"/>
      <c r="G230" s="1"/>
      <c r="H230" s="1"/>
      <c r="I230" s="1"/>
      <c r="J230" s="1"/>
      <c r="K230" s="1"/>
      <c r="L230" s="1"/>
      <c r="M230" s="1"/>
      <c r="N230" s="1"/>
      <c r="O230" s="1"/>
      <c r="P230" s="1"/>
      <c r="Q230" s="1"/>
      <c r="R230" s="1"/>
      <c r="S230" s="1"/>
      <c r="T230" s="1"/>
      <c r="U230" s="1"/>
      <c r="V230" s="1"/>
      <c r="W230" s="1"/>
      <c r="X230" s="1"/>
      <c r="Y230" s="1"/>
    </row>
    <row r="231" spans="1:25" ht="33.75" customHeight="1">
      <c r="A231" s="1"/>
      <c r="B231" s="15"/>
      <c r="C231" s="9"/>
      <c r="D231" s="3"/>
      <c r="E231" s="3"/>
      <c r="F231" s="1"/>
      <c r="G231" s="1"/>
      <c r="H231" s="1"/>
      <c r="I231" s="1"/>
      <c r="J231" s="1"/>
      <c r="K231" s="1"/>
      <c r="L231" s="1"/>
      <c r="M231" s="1"/>
      <c r="N231" s="1"/>
      <c r="O231" s="1"/>
      <c r="P231" s="1"/>
      <c r="Q231" s="1"/>
      <c r="R231" s="1"/>
      <c r="S231" s="1"/>
      <c r="T231" s="1"/>
      <c r="U231" s="1"/>
      <c r="V231" s="1"/>
      <c r="W231" s="1"/>
      <c r="X231" s="1"/>
      <c r="Y231" s="1"/>
    </row>
    <row r="232" spans="1:25" ht="33.75" customHeight="1">
      <c r="A232" s="1"/>
      <c r="B232" s="15"/>
      <c r="C232" s="9"/>
      <c r="D232" s="3"/>
      <c r="E232" s="3"/>
      <c r="F232" s="1"/>
      <c r="G232" s="1"/>
      <c r="H232" s="1"/>
      <c r="I232" s="1"/>
      <c r="J232" s="1"/>
      <c r="K232" s="1"/>
      <c r="L232" s="1"/>
      <c r="M232" s="1"/>
      <c r="N232" s="1"/>
      <c r="O232" s="1"/>
      <c r="P232" s="1"/>
      <c r="Q232" s="1"/>
      <c r="R232" s="1"/>
      <c r="S232" s="1"/>
      <c r="T232" s="1"/>
      <c r="U232" s="1"/>
      <c r="V232" s="1"/>
      <c r="W232" s="1"/>
      <c r="X232" s="1"/>
      <c r="Y232" s="1"/>
    </row>
    <row r="233" spans="1:25" ht="33.75" customHeight="1">
      <c r="A233" s="1"/>
      <c r="B233" s="15"/>
      <c r="C233" s="9"/>
      <c r="D233" s="3"/>
      <c r="E233" s="3"/>
      <c r="F233" s="1"/>
      <c r="G233" s="1"/>
      <c r="H233" s="1"/>
      <c r="I233" s="1"/>
      <c r="J233" s="1"/>
      <c r="K233" s="1"/>
      <c r="L233" s="1"/>
      <c r="M233" s="1"/>
      <c r="N233" s="1"/>
      <c r="O233" s="1"/>
      <c r="P233" s="1"/>
      <c r="Q233" s="1"/>
      <c r="R233" s="1"/>
      <c r="S233" s="1"/>
      <c r="T233" s="1"/>
      <c r="U233" s="1"/>
      <c r="V233" s="1"/>
      <c r="W233" s="1"/>
      <c r="X233" s="1"/>
      <c r="Y233" s="1"/>
    </row>
    <row r="234" spans="1:25" ht="33.75" customHeight="1">
      <c r="A234" s="1"/>
      <c r="B234" s="15"/>
      <c r="C234" s="9"/>
      <c r="D234" s="3"/>
      <c r="E234" s="3"/>
      <c r="F234" s="1"/>
      <c r="G234" s="1"/>
      <c r="H234" s="1"/>
      <c r="I234" s="1"/>
      <c r="J234" s="1"/>
      <c r="K234" s="1"/>
      <c r="L234" s="1"/>
      <c r="M234" s="1"/>
      <c r="N234" s="1"/>
      <c r="O234" s="1"/>
      <c r="P234" s="1"/>
      <c r="Q234" s="1"/>
      <c r="R234" s="1"/>
      <c r="S234" s="1"/>
      <c r="T234" s="1"/>
      <c r="U234" s="1"/>
      <c r="V234" s="1"/>
      <c r="W234" s="1"/>
      <c r="X234" s="1"/>
      <c r="Y234" s="1"/>
    </row>
    <row r="235" spans="1:25" ht="33.75" customHeight="1">
      <c r="A235" s="1"/>
      <c r="B235" s="15"/>
      <c r="C235" s="9"/>
      <c r="D235" s="3"/>
      <c r="E235" s="3"/>
      <c r="F235" s="1"/>
      <c r="G235" s="1"/>
      <c r="H235" s="1"/>
      <c r="I235" s="1"/>
      <c r="J235" s="1"/>
      <c r="K235" s="1"/>
      <c r="L235" s="1"/>
      <c r="M235" s="1"/>
      <c r="N235" s="1"/>
      <c r="O235" s="1"/>
      <c r="P235" s="1"/>
      <c r="Q235" s="1"/>
      <c r="R235" s="1"/>
      <c r="S235" s="1"/>
      <c r="T235" s="1"/>
      <c r="U235" s="1"/>
      <c r="V235" s="1"/>
      <c r="W235" s="1"/>
      <c r="X235" s="1"/>
      <c r="Y235" s="1"/>
    </row>
    <row r="236" spans="1:25" ht="33.75" customHeight="1">
      <c r="A236" s="1"/>
      <c r="B236" s="15"/>
      <c r="C236" s="9"/>
      <c r="D236" s="3"/>
      <c r="E236" s="3"/>
      <c r="F236" s="1"/>
      <c r="G236" s="1"/>
      <c r="H236" s="1"/>
      <c r="I236" s="1"/>
      <c r="J236" s="1"/>
      <c r="K236" s="1"/>
      <c r="L236" s="1"/>
      <c r="M236" s="1"/>
      <c r="N236" s="1"/>
      <c r="O236" s="1"/>
      <c r="P236" s="1"/>
      <c r="Q236" s="1"/>
      <c r="R236" s="1"/>
      <c r="S236" s="1"/>
      <c r="T236" s="1"/>
      <c r="U236" s="1"/>
      <c r="V236" s="1"/>
      <c r="W236" s="1"/>
      <c r="X236" s="1"/>
      <c r="Y236" s="1"/>
    </row>
    <row r="237" spans="1:25" ht="33.75" customHeight="1">
      <c r="A237" s="1"/>
      <c r="B237" s="15"/>
      <c r="C237" s="9"/>
      <c r="D237" s="3"/>
      <c r="E237" s="3"/>
      <c r="F237" s="1"/>
      <c r="G237" s="1"/>
      <c r="H237" s="1"/>
      <c r="I237" s="1"/>
      <c r="J237" s="1"/>
      <c r="K237" s="1"/>
      <c r="L237" s="1"/>
      <c r="M237" s="1"/>
      <c r="N237" s="1"/>
      <c r="O237" s="1"/>
      <c r="P237" s="1"/>
      <c r="Q237" s="1"/>
      <c r="R237" s="1"/>
      <c r="S237" s="1"/>
      <c r="T237" s="1"/>
      <c r="U237" s="1"/>
      <c r="V237" s="1"/>
      <c r="W237" s="1"/>
      <c r="X237" s="1"/>
      <c r="Y237" s="1"/>
    </row>
    <row r="238" spans="1:25" ht="33.75" customHeight="1">
      <c r="A238" s="1"/>
      <c r="B238" s="15"/>
      <c r="C238" s="9"/>
      <c r="D238" s="3"/>
      <c r="E238" s="3"/>
      <c r="F238" s="1"/>
      <c r="G238" s="1"/>
      <c r="H238" s="1"/>
      <c r="I238" s="1"/>
      <c r="J238" s="1"/>
      <c r="K238" s="1"/>
      <c r="L238" s="1"/>
      <c r="M238" s="1"/>
      <c r="N238" s="1"/>
      <c r="O238" s="1"/>
      <c r="P238" s="1"/>
      <c r="Q238" s="1"/>
      <c r="R238" s="1"/>
      <c r="S238" s="1"/>
      <c r="T238" s="1"/>
      <c r="U238" s="1"/>
      <c r="V238" s="1"/>
      <c r="W238" s="1"/>
      <c r="X238" s="1"/>
      <c r="Y238" s="1"/>
    </row>
    <row r="239" spans="1:25" ht="33.75" customHeight="1">
      <c r="A239" s="1"/>
      <c r="B239" s="15"/>
      <c r="C239" s="9"/>
      <c r="D239" s="3"/>
      <c r="E239" s="3"/>
      <c r="F239" s="1"/>
      <c r="G239" s="1"/>
      <c r="H239" s="1"/>
      <c r="I239" s="1"/>
      <c r="J239" s="1"/>
      <c r="K239" s="1"/>
      <c r="L239" s="1"/>
      <c r="M239" s="1"/>
      <c r="N239" s="1"/>
      <c r="O239" s="1"/>
      <c r="P239" s="1"/>
      <c r="Q239" s="1"/>
      <c r="R239" s="1"/>
      <c r="S239" s="1"/>
      <c r="T239" s="1"/>
      <c r="U239" s="1"/>
      <c r="V239" s="1"/>
      <c r="W239" s="1"/>
      <c r="X239" s="1"/>
      <c r="Y239" s="1"/>
    </row>
    <row r="240" spans="1:25" ht="33.75" customHeight="1">
      <c r="A240" s="1"/>
      <c r="B240" s="15"/>
      <c r="C240" s="9"/>
      <c r="D240" s="3"/>
      <c r="E240" s="3"/>
      <c r="F240" s="1"/>
      <c r="G240" s="1"/>
      <c r="H240" s="1"/>
      <c r="I240" s="1"/>
      <c r="J240" s="1"/>
      <c r="K240" s="1"/>
      <c r="L240" s="1"/>
      <c r="M240" s="1"/>
      <c r="N240" s="1"/>
      <c r="O240" s="1"/>
      <c r="P240" s="1"/>
      <c r="Q240" s="1"/>
      <c r="R240" s="1"/>
      <c r="S240" s="1"/>
      <c r="T240" s="1"/>
      <c r="U240" s="1"/>
      <c r="V240" s="1"/>
      <c r="W240" s="1"/>
      <c r="X240" s="1"/>
      <c r="Y240" s="1"/>
    </row>
    <row r="241" spans="1:25" ht="33.75" customHeight="1">
      <c r="A241" s="1"/>
      <c r="B241" s="15"/>
      <c r="C241" s="9"/>
      <c r="D241" s="3"/>
      <c r="E241" s="3"/>
      <c r="F241" s="1"/>
      <c r="G241" s="1"/>
      <c r="H241" s="1"/>
      <c r="I241" s="1"/>
      <c r="J241" s="1"/>
      <c r="K241" s="1"/>
      <c r="L241" s="1"/>
      <c r="M241" s="1"/>
      <c r="N241" s="1"/>
      <c r="O241" s="1"/>
      <c r="P241" s="1"/>
      <c r="Q241" s="1"/>
      <c r="R241" s="1"/>
      <c r="S241" s="1"/>
      <c r="T241" s="1"/>
      <c r="U241" s="1"/>
      <c r="V241" s="1"/>
      <c r="W241" s="1"/>
      <c r="X241" s="1"/>
      <c r="Y241" s="1"/>
    </row>
    <row r="242" spans="1:25" ht="33.75" customHeight="1">
      <c r="A242" s="1"/>
      <c r="B242" s="15"/>
      <c r="C242" s="9"/>
      <c r="D242" s="3"/>
      <c r="E242" s="3"/>
      <c r="F242" s="1"/>
      <c r="G242" s="1"/>
      <c r="H242" s="1"/>
      <c r="I242" s="1"/>
      <c r="J242" s="1"/>
      <c r="K242" s="1"/>
      <c r="L242" s="1"/>
      <c r="M242" s="1"/>
      <c r="N242" s="1"/>
      <c r="O242" s="1"/>
      <c r="P242" s="1"/>
      <c r="Q242" s="1"/>
      <c r="R242" s="1"/>
      <c r="S242" s="1"/>
      <c r="T242" s="1"/>
      <c r="U242" s="1"/>
      <c r="V242" s="1"/>
      <c r="W242" s="1"/>
      <c r="X242" s="1"/>
      <c r="Y242" s="1"/>
    </row>
    <row r="243" spans="1:25" ht="33.75" customHeight="1">
      <c r="A243" s="1"/>
      <c r="B243" s="15"/>
      <c r="C243" s="9"/>
      <c r="D243" s="3"/>
      <c r="E243" s="3"/>
      <c r="F243" s="1"/>
      <c r="G243" s="1"/>
      <c r="H243" s="1"/>
      <c r="I243" s="1"/>
      <c r="J243" s="1"/>
      <c r="K243" s="1"/>
      <c r="L243" s="1"/>
      <c r="M243" s="1"/>
      <c r="N243" s="1"/>
      <c r="O243" s="1"/>
      <c r="P243" s="1"/>
      <c r="Q243" s="1"/>
      <c r="R243" s="1"/>
      <c r="S243" s="1"/>
      <c r="T243" s="1"/>
      <c r="U243" s="1"/>
      <c r="V243" s="1"/>
      <c r="W243" s="1"/>
      <c r="X243" s="1"/>
      <c r="Y243" s="1"/>
    </row>
    <row r="244" spans="1:25" ht="33.75" customHeight="1">
      <c r="A244" s="1"/>
      <c r="B244" s="15"/>
      <c r="C244" s="9"/>
      <c r="D244" s="3"/>
      <c r="E244" s="3"/>
      <c r="F244" s="1"/>
      <c r="G244" s="1"/>
      <c r="H244" s="1"/>
      <c r="I244" s="1"/>
      <c r="J244" s="1"/>
      <c r="K244" s="1"/>
      <c r="L244" s="1"/>
      <c r="M244" s="1"/>
      <c r="N244" s="1"/>
      <c r="O244" s="1"/>
      <c r="P244" s="1"/>
      <c r="Q244" s="1"/>
      <c r="R244" s="1"/>
      <c r="S244" s="1"/>
      <c r="T244" s="1"/>
      <c r="U244" s="1"/>
      <c r="V244" s="1"/>
      <c r="W244" s="1"/>
      <c r="X244" s="1"/>
      <c r="Y244" s="1"/>
    </row>
    <row r="245" spans="1:25" ht="33.75" customHeight="1">
      <c r="A245" s="1"/>
      <c r="B245" s="15"/>
      <c r="C245" s="9"/>
      <c r="D245" s="3"/>
      <c r="E245" s="3"/>
      <c r="F245" s="1"/>
      <c r="G245" s="1"/>
      <c r="H245" s="1"/>
      <c r="I245" s="1"/>
      <c r="J245" s="1"/>
      <c r="K245" s="1"/>
      <c r="L245" s="1"/>
      <c r="M245" s="1"/>
      <c r="N245" s="1"/>
      <c r="O245" s="1"/>
      <c r="P245" s="1"/>
      <c r="Q245" s="1"/>
      <c r="R245" s="1"/>
      <c r="S245" s="1"/>
      <c r="T245" s="1"/>
      <c r="U245" s="1"/>
      <c r="V245" s="1"/>
      <c r="W245" s="1"/>
      <c r="X245" s="1"/>
      <c r="Y245" s="1"/>
    </row>
    <row r="246" spans="1:25" ht="33.75" customHeight="1">
      <c r="A246" s="1"/>
      <c r="B246" s="15"/>
      <c r="C246" s="9"/>
      <c r="D246" s="3"/>
      <c r="E246" s="3"/>
      <c r="F246" s="1"/>
      <c r="G246" s="1"/>
      <c r="H246" s="1"/>
      <c r="I246" s="1"/>
      <c r="J246" s="1"/>
      <c r="K246" s="1"/>
      <c r="L246" s="1"/>
      <c r="M246" s="1"/>
      <c r="N246" s="1"/>
      <c r="O246" s="1"/>
      <c r="P246" s="1"/>
      <c r="Q246" s="1"/>
      <c r="R246" s="1"/>
      <c r="S246" s="1"/>
      <c r="T246" s="1"/>
      <c r="U246" s="1"/>
      <c r="V246" s="1"/>
      <c r="W246" s="1"/>
      <c r="X246" s="1"/>
      <c r="Y246" s="1"/>
    </row>
    <row r="247" spans="1:25" ht="15.75" customHeight="1">
      <c r="B247" s="22"/>
    </row>
    <row r="248" spans="1:25" ht="15.75" customHeight="1">
      <c r="B248" s="22"/>
    </row>
    <row r="249" spans="1:25" ht="15.75" customHeight="1">
      <c r="B249" s="22"/>
    </row>
    <row r="250" spans="1:25" ht="15.75" customHeight="1">
      <c r="B250" s="22"/>
    </row>
    <row r="251" spans="1:25" ht="15.75" customHeight="1">
      <c r="B251" s="22"/>
    </row>
    <row r="252" spans="1:25" ht="15.75" customHeight="1">
      <c r="B252" s="22"/>
    </row>
    <row r="253" spans="1:25" ht="15.75" customHeight="1">
      <c r="B253" s="22"/>
    </row>
    <row r="254" spans="1:25" ht="15.75" customHeight="1">
      <c r="B254" s="22"/>
    </row>
    <row r="255" spans="1:25" ht="15.75" customHeight="1">
      <c r="B255" s="22"/>
    </row>
    <row r="256" spans="1:25" ht="15.75" customHeight="1">
      <c r="B256" s="22"/>
    </row>
    <row r="257" spans="2:2" ht="15.75" customHeight="1">
      <c r="B257" s="22"/>
    </row>
    <row r="258" spans="2:2" ht="15.75" customHeight="1">
      <c r="B258" s="22"/>
    </row>
    <row r="259" spans="2:2" ht="15.75" customHeight="1">
      <c r="B259" s="22"/>
    </row>
    <row r="260" spans="2:2" ht="15.75" customHeight="1">
      <c r="B260" s="22"/>
    </row>
    <row r="261" spans="2:2" ht="15.75" customHeight="1">
      <c r="B261" s="22"/>
    </row>
    <row r="262" spans="2:2" ht="15.75" customHeight="1">
      <c r="B262" s="22"/>
    </row>
    <row r="263" spans="2:2" ht="15.75" customHeight="1">
      <c r="B263" s="22"/>
    </row>
    <row r="264" spans="2:2" ht="15.75" customHeight="1">
      <c r="B264" s="22"/>
    </row>
    <row r="265" spans="2:2" ht="15.75" customHeight="1">
      <c r="B265" s="22"/>
    </row>
    <row r="266" spans="2:2" ht="15.75" customHeight="1">
      <c r="B266" s="22"/>
    </row>
    <row r="267" spans="2:2" ht="15.75" customHeight="1">
      <c r="B267" s="22"/>
    </row>
    <row r="268" spans="2:2" ht="15.75" customHeight="1">
      <c r="B268" s="22"/>
    </row>
    <row r="269" spans="2:2" ht="15.75" customHeight="1">
      <c r="B269" s="22"/>
    </row>
    <row r="270" spans="2:2" ht="15.75" customHeight="1">
      <c r="B270" s="22"/>
    </row>
    <row r="271" spans="2:2" ht="15.75" customHeight="1">
      <c r="B271" s="22"/>
    </row>
    <row r="272" spans="2:2" ht="15.75" customHeight="1">
      <c r="B272" s="22"/>
    </row>
    <row r="273" spans="2:2" ht="15.75" customHeight="1">
      <c r="B273" s="22"/>
    </row>
    <row r="274" spans="2:2" ht="15.75" customHeight="1">
      <c r="B274" s="22"/>
    </row>
    <row r="275" spans="2:2" ht="15.75" customHeight="1">
      <c r="B275" s="22"/>
    </row>
    <row r="276" spans="2:2" ht="15.75" customHeight="1">
      <c r="B276" s="22"/>
    </row>
    <row r="277" spans="2:2" ht="15.75" customHeight="1">
      <c r="B277" s="22"/>
    </row>
    <row r="278" spans="2:2" ht="15.75" customHeight="1">
      <c r="B278" s="22"/>
    </row>
    <row r="279" spans="2:2" ht="15.75" customHeight="1">
      <c r="B279" s="22"/>
    </row>
    <row r="280" spans="2:2" ht="15.75" customHeight="1">
      <c r="B280" s="22"/>
    </row>
    <row r="281" spans="2:2" ht="15.75" customHeight="1">
      <c r="B281" s="22"/>
    </row>
    <row r="282" spans="2:2" ht="15.75" customHeight="1">
      <c r="B282" s="22"/>
    </row>
    <row r="283" spans="2:2" ht="15.75" customHeight="1">
      <c r="B283" s="22"/>
    </row>
    <row r="284" spans="2:2" ht="15.75" customHeight="1">
      <c r="B284" s="22"/>
    </row>
    <row r="285" spans="2:2" ht="15.75" customHeight="1">
      <c r="B285" s="22"/>
    </row>
    <row r="286" spans="2:2" ht="15.75" customHeight="1">
      <c r="B286" s="22"/>
    </row>
    <row r="287" spans="2:2" ht="15.75" customHeight="1">
      <c r="B287" s="22"/>
    </row>
    <row r="288" spans="2:2" ht="15.75" customHeight="1">
      <c r="B288" s="22"/>
    </row>
    <row r="289" spans="2:2" ht="15.75" customHeight="1">
      <c r="B289" s="22"/>
    </row>
    <row r="290" spans="2:2" ht="15.75" customHeight="1">
      <c r="B290" s="22"/>
    </row>
    <row r="291" spans="2:2" ht="15.75" customHeight="1">
      <c r="B291" s="22"/>
    </row>
    <row r="292" spans="2:2" ht="15.75" customHeight="1">
      <c r="B292" s="22"/>
    </row>
    <row r="293" spans="2:2" ht="15.75" customHeight="1">
      <c r="B293" s="22"/>
    </row>
    <row r="294" spans="2:2" ht="15.75" customHeight="1">
      <c r="B294" s="22"/>
    </row>
    <row r="295" spans="2:2" ht="15.75" customHeight="1">
      <c r="B295" s="22"/>
    </row>
    <row r="296" spans="2:2" ht="15.75" customHeight="1">
      <c r="B296" s="22"/>
    </row>
    <row r="297" spans="2:2" ht="15.75" customHeight="1">
      <c r="B297" s="22"/>
    </row>
    <row r="298" spans="2:2" ht="15.75" customHeight="1">
      <c r="B298" s="22"/>
    </row>
    <row r="299" spans="2:2" ht="15.75" customHeight="1">
      <c r="B299" s="22"/>
    </row>
    <row r="300" spans="2:2" ht="15.75" customHeight="1">
      <c r="B300" s="22"/>
    </row>
    <row r="301" spans="2:2" ht="15.75" customHeight="1">
      <c r="B301" s="22"/>
    </row>
    <row r="302" spans="2:2" ht="15.75" customHeight="1">
      <c r="B302" s="22"/>
    </row>
    <row r="303" spans="2:2" ht="15.75" customHeight="1">
      <c r="B303" s="22"/>
    </row>
    <row r="304" spans="2:2" ht="15.75" customHeight="1">
      <c r="B304" s="22"/>
    </row>
    <row r="305" spans="2:2" ht="15.75" customHeight="1">
      <c r="B305" s="22"/>
    </row>
    <row r="306" spans="2:2" ht="15.75" customHeight="1">
      <c r="B306" s="22"/>
    </row>
    <row r="307" spans="2:2" ht="15.75" customHeight="1">
      <c r="B307" s="22"/>
    </row>
    <row r="308" spans="2:2" ht="15.75" customHeight="1">
      <c r="B308" s="22"/>
    </row>
    <row r="309" spans="2:2" ht="15.75" customHeight="1">
      <c r="B309" s="22"/>
    </row>
    <row r="310" spans="2:2" ht="15.75" customHeight="1">
      <c r="B310" s="22"/>
    </row>
    <row r="311" spans="2:2" ht="15.75" customHeight="1">
      <c r="B311" s="22"/>
    </row>
    <row r="312" spans="2:2" ht="15.75" customHeight="1">
      <c r="B312" s="22"/>
    </row>
    <row r="313" spans="2:2" ht="15.75" customHeight="1">
      <c r="B313" s="22"/>
    </row>
    <row r="314" spans="2:2" ht="15.75" customHeight="1">
      <c r="B314" s="22"/>
    </row>
    <row r="315" spans="2:2" ht="15.75" customHeight="1">
      <c r="B315" s="22"/>
    </row>
    <row r="316" spans="2:2" ht="15.75" customHeight="1">
      <c r="B316" s="22"/>
    </row>
    <row r="317" spans="2:2" ht="15.75" customHeight="1">
      <c r="B317" s="22"/>
    </row>
    <row r="318" spans="2:2" ht="15.75" customHeight="1">
      <c r="B318" s="22"/>
    </row>
    <row r="319" spans="2:2" ht="15.75" customHeight="1">
      <c r="B319" s="22"/>
    </row>
    <row r="320" spans="2:2" ht="15.75" customHeight="1">
      <c r="B320" s="22"/>
    </row>
    <row r="321" spans="2:2" ht="15.75" customHeight="1">
      <c r="B321" s="22"/>
    </row>
    <row r="322" spans="2:2" ht="15.75" customHeight="1">
      <c r="B322" s="22"/>
    </row>
    <row r="323" spans="2:2" ht="15.75" customHeight="1">
      <c r="B323" s="22"/>
    </row>
    <row r="324" spans="2:2" ht="15.75" customHeight="1">
      <c r="B324" s="22"/>
    </row>
    <row r="325" spans="2:2" ht="15.75" customHeight="1">
      <c r="B325" s="22"/>
    </row>
    <row r="326" spans="2:2" ht="15.75" customHeight="1">
      <c r="B326" s="22"/>
    </row>
    <row r="327" spans="2:2" ht="15.75" customHeight="1">
      <c r="B327" s="22"/>
    </row>
    <row r="328" spans="2:2" ht="15.75" customHeight="1">
      <c r="B328" s="22"/>
    </row>
    <row r="329" spans="2:2" ht="15.75" customHeight="1">
      <c r="B329" s="22"/>
    </row>
    <row r="330" spans="2:2" ht="15.75" customHeight="1">
      <c r="B330" s="22"/>
    </row>
    <row r="331" spans="2:2" ht="15.75" customHeight="1">
      <c r="B331" s="22"/>
    </row>
    <row r="332" spans="2:2" ht="15.75" customHeight="1">
      <c r="B332" s="22"/>
    </row>
    <row r="333" spans="2:2" ht="15.75" customHeight="1">
      <c r="B333" s="22"/>
    </row>
    <row r="334" spans="2:2" ht="15.75" customHeight="1">
      <c r="B334" s="22"/>
    </row>
    <row r="335" spans="2:2" ht="15.75" customHeight="1">
      <c r="B335" s="22"/>
    </row>
    <row r="336" spans="2:2" ht="15.75" customHeight="1">
      <c r="B336" s="22"/>
    </row>
    <row r="337" spans="2:2" ht="15.75" customHeight="1">
      <c r="B337" s="22"/>
    </row>
    <row r="338" spans="2:2" ht="15.75" customHeight="1">
      <c r="B338" s="22"/>
    </row>
    <row r="339" spans="2:2" ht="15.75" customHeight="1">
      <c r="B339" s="22"/>
    </row>
    <row r="340" spans="2:2" ht="15.75" customHeight="1">
      <c r="B340" s="22"/>
    </row>
    <row r="341" spans="2:2" ht="15.75" customHeight="1">
      <c r="B341" s="22"/>
    </row>
    <row r="342" spans="2:2" ht="15.75" customHeight="1">
      <c r="B342" s="22"/>
    </row>
    <row r="343" spans="2:2" ht="15.75" customHeight="1">
      <c r="B343" s="22"/>
    </row>
    <row r="344" spans="2:2" ht="15.75" customHeight="1">
      <c r="B344" s="22"/>
    </row>
    <row r="345" spans="2:2" ht="15.75" customHeight="1">
      <c r="B345" s="22"/>
    </row>
    <row r="346" spans="2:2" ht="15.75" customHeight="1">
      <c r="B346" s="22"/>
    </row>
    <row r="347" spans="2:2" ht="15.75" customHeight="1">
      <c r="B347" s="22"/>
    </row>
    <row r="348" spans="2:2" ht="15.75" customHeight="1">
      <c r="B348" s="22"/>
    </row>
    <row r="349" spans="2:2" ht="15.75" customHeight="1">
      <c r="B349" s="22"/>
    </row>
    <row r="350" spans="2:2" ht="15.75" customHeight="1">
      <c r="B350" s="22"/>
    </row>
    <row r="351" spans="2:2" ht="15.75" customHeight="1">
      <c r="B351" s="22"/>
    </row>
    <row r="352" spans="2:2" ht="15.75" customHeight="1">
      <c r="B352" s="22"/>
    </row>
    <row r="353" spans="2:2" ht="15.75" customHeight="1">
      <c r="B353" s="22"/>
    </row>
    <row r="354" spans="2:2" ht="15.75" customHeight="1">
      <c r="B354" s="22"/>
    </row>
    <row r="355" spans="2:2" ht="15.75" customHeight="1">
      <c r="B355" s="22"/>
    </row>
    <row r="356" spans="2:2" ht="15.75" customHeight="1">
      <c r="B356" s="22"/>
    </row>
    <row r="357" spans="2:2" ht="15.75" customHeight="1">
      <c r="B357" s="22"/>
    </row>
    <row r="358" spans="2:2" ht="15.75" customHeight="1">
      <c r="B358" s="22"/>
    </row>
    <row r="359" spans="2:2" ht="15.75" customHeight="1">
      <c r="B359" s="22"/>
    </row>
    <row r="360" spans="2:2" ht="15.75" customHeight="1">
      <c r="B360" s="22"/>
    </row>
    <row r="361" spans="2:2" ht="15.75" customHeight="1">
      <c r="B361" s="22"/>
    </row>
    <row r="362" spans="2:2" ht="15.75" customHeight="1">
      <c r="B362" s="22"/>
    </row>
    <row r="363" spans="2:2" ht="15.75" customHeight="1">
      <c r="B363" s="22"/>
    </row>
    <row r="364" spans="2:2" ht="15.75" customHeight="1">
      <c r="B364" s="22"/>
    </row>
    <row r="365" spans="2:2" ht="15.75" customHeight="1">
      <c r="B365" s="22"/>
    </row>
    <row r="366" spans="2:2" ht="15.75" customHeight="1">
      <c r="B366" s="22"/>
    </row>
    <row r="367" spans="2:2" ht="15.75" customHeight="1">
      <c r="B367" s="22"/>
    </row>
    <row r="368" spans="2:2" ht="15.75" customHeight="1">
      <c r="B368" s="22"/>
    </row>
    <row r="369" spans="2:2" ht="15.75" customHeight="1">
      <c r="B369" s="22"/>
    </row>
    <row r="370" spans="2:2" ht="15.75" customHeight="1">
      <c r="B370" s="22"/>
    </row>
    <row r="371" spans="2:2" ht="15.75" customHeight="1">
      <c r="B371" s="22"/>
    </row>
    <row r="372" spans="2:2" ht="15.75" customHeight="1">
      <c r="B372" s="22"/>
    </row>
    <row r="373" spans="2:2" ht="15.75" customHeight="1">
      <c r="B373" s="22"/>
    </row>
    <row r="374" spans="2:2" ht="15.75" customHeight="1">
      <c r="B374" s="22"/>
    </row>
    <row r="375" spans="2:2" ht="15.75" customHeight="1">
      <c r="B375" s="22"/>
    </row>
    <row r="376" spans="2:2" ht="15.75" customHeight="1">
      <c r="B376" s="22"/>
    </row>
    <row r="377" spans="2:2" ht="15.75" customHeight="1">
      <c r="B377" s="22"/>
    </row>
    <row r="378" spans="2:2" ht="15.75" customHeight="1">
      <c r="B378" s="22"/>
    </row>
    <row r="379" spans="2:2" ht="15.75" customHeight="1">
      <c r="B379" s="22"/>
    </row>
    <row r="380" spans="2:2" ht="15.75" customHeight="1">
      <c r="B380" s="22"/>
    </row>
    <row r="381" spans="2:2" ht="15.75" customHeight="1">
      <c r="B381" s="22"/>
    </row>
    <row r="382" spans="2:2" ht="15.75" customHeight="1">
      <c r="B382" s="22"/>
    </row>
    <row r="383" spans="2:2" ht="15.75" customHeight="1">
      <c r="B383" s="22"/>
    </row>
    <row r="384" spans="2:2" ht="15.75" customHeight="1">
      <c r="B384" s="22"/>
    </row>
    <row r="385" spans="2:2" ht="15.75" customHeight="1">
      <c r="B385" s="22"/>
    </row>
    <row r="386" spans="2:2" ht="15.75" customHeight="1">
      <c r="B386" s="22"/>
    </row>
    <row r="387" spans="2:2" ht="15.75" customHeight="1">
      <c r="B387" s="22"/>
    </row>
    <row r="388" spans="2:2" ht="15.75" customHeight="1">
      <c r="B388" s="22"/>
    </row>
    <row r="389" spans="2:2" ht="15.75" customHeight="1">
      <c r="B389" s="22"/>
    </row>
    <row r="390" spans="2:2" ht="15.75" customHeight="1">
      <c r="B390" s="22"/>
    </row>
    <row r="391" spans="2:2" ht="15.75" customHeight="1">
      <c r="B391" s="22"/>
    </row>
    <row r="392" spans="2:2" ht="15.75" customHeight="1">
      <c r="B392" s="22"/>
    </row>
    <row r="393" spans="2:2" ht="15.75" customHeight="1">
      <c r="B393" s="22"/>
    </row>
    <row r="394" spans="2:2" ht="15.75" customHeight="1">
      <c r="B394" s="22"/>
    </row>
    <row r="395" spans="2:2" ht="15.75" customHeight="1">
      <c r="B395" s="22"/>
    </row>
    <row r="396" spans="2:2" ht="15.75" customHeight="1">
      <c r="B396" s="22"/>
    </row>
    <row r="397" spans="2:2" ht="15.75" customHeight="1">
      <c r="B397" s="22"/>
    </row>
    <row r="398" spans="2:2" ht="15.75" customHeight="1">
      <c r="B398" s="22"/>
    </row>
    <row r="399" spans="2:2" ht="15.75" customHeight="1">
      <c r="B399" s="22"/>
    </row>
    <row r="400" spans="2:2" ht="15.75" customHeight="1">
      <c r="B400" s="22"/>
    </row>
    <row r="401" spans="2:2" ht="15.75" customHeight="1">
      <c r="B401" s="22"/>
    </row>
    <row r="402" spans="2:2" ht="15.75" customHeight="1">
      <c r="B402" s="22"/>
    </row>
    <row r="403" spans="2:2" ht="15.75" customHeight="1">
      <c r="B403" s="22"/>
    </row>
    <row r="404" spans="2:2" ht="15.75" customHeight="1">
      <c r="B404" s="22"/>
    </row>
    <row r="405" spans="2:2" ht="15.75" customHeight="1">
      <c r="B405" s="22"/>
    </row>
    <row r="406" spans="2:2" ht="15.75" customHeight="1">
      <c r="B406" s="22"/>
    </row>
    <row r="407" spans="2:2" ht="15.75" customHeight="1">
      <c r="B407" s="22"/>
    </row>
    <row r="408" spans="2:2" ht="15.75" customHeight="1">
      <c r="B408" s="22"/>
    </row>
    <row r="409" spans="2:2" ht="15.75" customHeight="1">
      <c r="B409" s="22"/>
    </row>
    <row r="410" spans="2:2" ht="15.75" customHeight="1">
      <c r="B410" s="22"/>
    </row>
    <row r="411" spans="2:2" ht="15.75" customHeight="1">
      <c r="B411" s="22"/>
    </row>
    <row r="412" spans="2:2" ht="15.75" customHeight="1">
      <c r="B412" s="22"/>
    </row>
    <row r="413" spans="2:2" ht="15.75" customHeight="1">
      <c r="B413" s="22"/>
    </row>
    <row r="414" spans="2:2" ht="15.75" customHeight="1">
      <c r="B414" s="22"/>
    </row>
    <row r="415" spans="2:2" ht="15.75" customHeight="1">
      <c r="B415" s="22"/>
    </row>
    <row r="416" spans="2:2" ht="15.75" customHeight="1">
      <c r="B416" s="22"/>
    </row>
    <row r="417" spans="2:2" ht="15.75" customHeight="1">
      <c r="B417" s="22"/>
    </row>
    <row r="418" spans="2:2" ht="15.75" customHeight="1">
      <c r="B418" s="22"/>
    </row>
    <row r="419" spans="2:2" ht="15.75" customHeight="1">
      <c r="B419" s="22"/>
    </row>
    <row r="420" spans="2:2" ht="15.75" customHeight="1">
      <c r="B420" s="22"/>
    </row>
    <row r="421" spans="2:2" ht="15.75" customHeight="1">
      <c r="B421" s="22"/>
    </row>
    <row r="422" spans="2:2" ht="15.75" customHeight="1">
      <c r="B422" s="22"/>
    </row>
    <row r="423" spans="2:2" ht="15.75" customHeight="1">
      <c r="B423" s="22"/>
    </row>
    <row r="424" spans="2:2" ht="15.75" customHeight="1">
      <c r="B424" s="22"/>
    </row>
    <row r="425" spans="2:2" ht="15.75" customHeight="1">
      <c r="B425" s="22"/>
    </row>
    <row r="426" spans="2:2" ht="15.75" customHeight="1">
      <c r="B426" s="22"/>
    </row>
    <row r="427" spans="2:2" ht="15.75" customHeight="1">
      <c r="B427" s="22"/>
    </row>
    <row r="428" spans="2:2" ht="15.75" customHeight="1">
      <c r="B428" s="22"/>
    </row>
    <row r="429" spans="2:2" ht="15.75" customHeight="1">
      <c r="B429" s="22"/>
    </row>
    <row r="430" spans="2:2" ht="15.75" customHeight="1">
      <c r="B430" s="22"/>
    </row>
    <row r="431" spans="2:2" ht="15.75" customHeight="1">
      <c r="B431" s="22"/>
    </row>
    <row r="432" spans="2:2" ht="15.75" customHeight="1">
      <c r="B432" s="22"/>
    </row>
    <row r="433" spans="2:2" ht="15.75" customHeight="1">
      <c r="B433" s="22"/>
    </row>
    <row r="434" spans="2:2" ht="15.75" customHeight="1">
      <c r="B434" s="22"/>
    </row>
    <row r="435" spans="2:2" ht="15.75" customHeight="1">
      <c r="B435" s="22"/>
    </row>
    <row r="436" spans="2:2" ht="15.75" customHeight="1">
      <c r="B436" s="22"/>
    </row>
    <row r="437" spans="2:2" ht="15.75" customHeight="1">
      <c r="B437" s="22"/>
    </row>
    <row r="438" spans="2:2" ht="15.75" customHeight="1">
      <c r="B438" s="22"/>
    </row>
    <row r="439" spans="2:2" ht="15.75" customHeight="1">
      <c r="B439" s="22"/>
    </row>
    <row r="440" spans="2:2" ht="15.75" customHeight="1">
      <c r="B440" s="22"/>
    </row>
    <row r="441" spans="2:2" ht="15.75" customHeight="1">
      <c r="B441" s="22"/>
    </row>
    <row r="442" spans="2:2" ht="15.75" customHeight="1">
      <c r="B442" s="22"/>
    </row>
    <row r="443" spans="2:2" ht="15.75" customHeight="1">
      <c r="B443" s="22"/>
    </row>
    <row r="444" spans="2:2" ht="15.75" customHeight="1">
      <c r="B444" s="22"/>
    </row>
    <row r="445" spans="2:2" ht="15.75" customHeight="1">
      <c r="B445" s="22"/>
    </row>
    <row r="446" spans="2:2" ht="15.75" customHeight="1">
      <c r="B446" s="22"/>
    </row>
    <row r="447" spans="2:2" ht="15.75" customHeight="1">
      <c r="B447" s="22"/>
    </row>
    <row r="448" spans="2:2" ht="15.75" customHeight="1">
      <c r="B448" s="22"/>
    </row>
    <row r="449" spans="2:2" ht="15.75" customHeight="1">
      <c r="B449" s="22"/>
    </row>
    <row r="450" spans="2:2" ht="15.75" customHeight="1">
      <c r="B450" s="22"/>
    </row>
    <row r="451" spans="2:2" ht="15.75" customHeight="1">
      <c r="B451" s="22"/>
    </row>
    <row r="452" spans="2:2" ht="15.75" customHeight="1">
      <c r="B452" s="22"/>
    </row>
    <row r="453" spans="2:2" ht="15.75" customHeight="1">
      <c r="B453" s="22"/>
    </row>
    <row r="454" spans="2:2" ht="15.75" customHeight="1">
      <c r="B454" s="22"/>
    </row>
    <row r="455" spans="2:2" ht="15.75" customHeight="1">
      <c r="B455" s="22"/>
    </row>
    <row r="456" spans="2:2" ht="15.75" customHeight="1">
      <c r="B456" s="22"/>
    </row>
    <row r="457" spans="2:2" ht="15.75" customHeight="1">
      <c r="B457" s="22"/>
    </row>
    <row r="458" spans="2:2" ht="15.75" customHeight="1">
      <c r="B458" s="22"/>
    </row>
    <row r="459" spans="2:2" ht="15.75" customHeight="1">
      <c r="B459" s="22"/>
    </row>
    <row r="460" spans="2:2" ht="15.75" customHeight="1">
      <c r="B460" s="22"/>
    </row>
    <row r="461" spans="2:2" ht="15.75" customHeight="1">
      <c r="B461" s="22"/>
    </row>
    <row r="462" spans="2:2" ht="15.75" customHeight="1">
      <c r="B462" s="22"/>
    </row>
    <row r="463" spans="2:2" ht="15.75" customHeight="1">
      <c r="B463" s="22"/>
    </row>
    <row r="464" spans="2:2" ht="15.75" customHeight="1">
      <c r="B464" s="22"/>
    </row>
    <row r="465" spans="2:2" ht="15.75" customHeight="1">
      <c r="B465" s="22"/>
    </row>
    <row r="466" spans="2:2" ht="15.75" customHeight="1">
      <c r="B466" s="22"/>
    </row>
    <row r="467" spans="2:2" ht="15.75" customHeight="1">
      <c r="B467" s="22"/>
    </row>
    <row r="468" spans="2:2" ht="15.75" customHeight="1">
      <c r="B468" s="22"/>
    </row>
    <row r="469" spans="2:2" ht="15.75" customHeight="1">
      <c r="B469" s="22"/>
    </row>
    <row r="470" spans="2:2" ht="15.75" customHeight="1">
      <c r="B470" s="22"/>
    </row>
    <row r="471" spans="2:2" ht="15.75" customHeight="1">
      <c r="B471" s="22"/>
    </row>
    <row r="472" spans="2:2" ht="15.75" customHeight="1">
      <c r="B472" s="22"/>
    </row>
    <row r="473" spans="2:2" ht="15.75" customHeight="1">
      <c r="B473" s="22"/>
    </row>
    <row r="474" spans="2:2" ht="15.75" customHeight="1">
      <c r="B474" s="22"/>
    </row>
    <row r="475" spans="2:2" ht="15.75" customHeight="1">
      <c r="B475" s="22"/>
    </row>
    <row r="476" spans="2:2" ht="15.75" customHeight="1">
      <c r="B476" s="22"/>
    </row>
    <row r="477" spans="2:2" ht="15.75" customHeight="1">
      <c r="B477" s="22"/>
    </row>
    <row r="478" spans="2:2" ht="15.75" customHeight="1">
      <c r="B478" s="22"/>
    </row>
    <row r="479" spans="2:2" ht="15.75" customHeight="1">
      <c r="B479" s="22"/>
    </row>
    <row r="480" spans="2:2" ht="15.75" customHeight="1">
      <c r="B480" s="22"/>
    </row>
    <row r="481" spans="2:2" ht="15.75" customHeight="1">
      <c r="B481" s="22"/>
    </row>
    <row r="482" spans="2:2" ht="15.75" customHeight="1">
      <c r="B482" s="22"/>
    </row>
    <row r="483" spans="2:2" ht="15.75" customHeight="1">
      <c r="B483" s="22"/>
    </row>
    <row r="484" spans="2:2" ht="15.75" customHeight="1">
      <c r="B484" s="22"/>
    </row>
    <row r="485" spans="2:2" ht="15.75" customHeight="1">
      <c r="B485" s="22"/>
    </row>
    <row r="486" spans="2:2" ht="15.75" customHeight="1">
      <c r="B486" s="22"/>
    </row>
    <row r="487" spans="2:2" ht="15.75" customHeight="1">
      <c r="B487" s="22"/>
    </row>
    <row r="488" spans="2:2" ht="15.75" customHeight="1">
      <c r="B488" s="22"/>
    </row>
    <row r="489" spans="2:2" ht="15.75" customHeight="1">
      <c r="B489" s="22"/>
    </row>
    <row r="490" spans="2:2" ht="15.75" customHeight="1">
      <c r="B490" s="22"/>
    </row>
    <row r="491" spans="2:2" ht="15.75" customHeight="1">
      <c r="B491" s="22"/>
    </row>
    <row r="492" spans="2:2" ht="15.75" customHeight="1">
      <c r="B492" s="22"/>
    </row>
    <row r="493" spans="2:2" ht="15.75" customHeight="1">
      <c r="B493" s="22"/>
    </row>
    <row r="494" spans="2:2" ht="15.75" customHeight="1">
      <c r="B494" s="22"/>
    </row>
    <row r="495" spans="2:2" ht="15.75" customHeight="1">
      <c r="B495" s="22"/>
    </row>
    <row r="496" spans="2:2" ht="15.75" customHeight="1">
      <c r="B496" s="22"/>
    </row>
    <row r="497" spans="2:2" ht="15.75" customHeight="1">
      <c r="B497" s="22"/>
    </row>
    <row r="498" spans="2:2" ht="15.75" customHeight="1">
      <c r="B498" s="22"/>
    </row>
    <row r="499" spans="2:2" ht="15.75" customHeight="1">
      <c r="B499" s="22"/>
    </row>
    <row r="500" spans="2:2" ht="15.75" customHeight="1">
      <c r="B500" s="22"/>
    </row>
    <row r="501" spans="2:2" ht="15.75" customHeight="1">
      <c r="B501" s="22"/>
    </row>
    <row r="502" spans="2:2" ht="15.75" customHeight="1">
      <c r="B502" s="22"/>
    </row>
    <row r="503" spans="2:2" ht="15.75" customHeight="1">
      <c r="B503" s="22"/>
    </row>
    <row r="504" spans="2:2" ht="15.75" customHeight="1">
      <c r="B504" s="22"/>
    </row>
    <row r="505" spans="2:2" ht="15.75" customHeight="1">
      <c r="B505" s="22"/>
    </row>
    <row r="506" spans="2:2" ht="15.75" customHeight="1">
      <c r="B506" s="22"/>
    </row>
    <row r="507" spans="2:2" ht="15.75" customHeight="1">
      <c r="B507" s="22"/>
    </row>
    <row r="508" spans="2:2" ht="15.75" customHeight="1">
      <c r="B508" s="22"/>
    </row>
    <row r="509" spans="2:2" ht="15.75" customHeight="1">
      <c r="B509" s="22"/>
    </row>
    <row r="510" spans="2:2" ht="15.75" customHeight="1">
      <c r="B510" s="22"/>
    </row>
    <row r="511" spans="2:2" ht="15.75" customHeight="1">
      <c r="B511" s="22"/>
    </row>
    <row r="512" spans="2:2" ht="15.75" customHeight="1">
      <c r="B512" s="22"/>
    </row>
    <row r="513" spans="2:2" ht="15.75" customHeight="1">
      <c r="B513" s="22"/>
    </row>
    <row r="514" spans="2:2" ht="15.75" customHeight="1">
      <c r="B514" s="22"/>
    </row>
    <row r="515" spans="2:2" ht="15.75" customHeight="1">
      <c r="B515" s="22"/>
    </row>
    <row r="516" spans="2:2" ht="15.75" customHeight="1">
      <c r="B516" s="22"/>
    </row>
    <row r="517" spans="2:2" ht="15.75" customHeight="1">
      <c r="B517" s="22"/>
    </row>
    <row r="518" spans="2:2" ht="15.75" customHeight="1">
      <c r="B518" s="22"/>
    </row>
    <row r="519" spans="2:2" ht="15.75" customHeight="1">
      <c r="B519" s="22"/>
    </row>
    <row r="520" spans="2:2" ht="15.75" customHeight="1">
      <c r="B520" s="22"/>
    </row>
    <row r="521" spans="2:2" ht="15.75" customHeight="1">
      <c r="B521" s="22"/>
    </row>
    <row r="522" spans="2:2" ht="15.75" customHeight="1">
      <c r="B522" s="22"/>
    </row>
    <row r="523" spans="2:2" ht="15.75" customHeight="1">
      <c r="B523" s="22"/>
    </row>
    <row r="524" spans="2:2" ht="15.75" customHeight="1">
      <c r="B524" s="22"/>
    </row>
    <row r="525" spans="2:2" ht="15.75" customHeight="1">
      <c r="B525" s="22"/>
    </row>
    <row r="526" spans="2:2" ht="15.75" customHeight="1">
      <c r="B526" s="22"/>
    </row>
    <row r="527" spans="2:2" ht="15.75" customHeight="1">
      <c r="B527" s="22"/>
    </row>
    <row r="528" spans="2:2" ht="15.75" customHeight="1">
      <c r="B528" s="22"/>
    </row>
    <row r="529" spans="2:2" ht="15.75" customHeight="1">
      <c r="B529" s="22"/>
    </row>
    <row r="530" spans="2:2" ht="15.75" customHeight="1">
      <c r="B530" s="22"/>
    </row>
    <row r="531" spans="2:2" ht="15.75" customHeight="1">
      <c r="B531" s="22"/>
    </row>
    <row r="532" spans="2:2" ht="15.75" customHeight="1">
      <c r="B532" s="22"/>
    </row>
    <row r="533" spans="2:2" ht="15.75" customHeight="1">
      <c r="B533" s="22"/>
    </row>
    <row r="534" spans="2:2" ht="15.75" customHeight="1">
      <c r="B534" s="22"/>
    </row>
    <row r="535" spans="2:2" ht="15.75" customHeight="1">
      <c r="B535" s="22"/>
    </row>
    <row r="536" spans="2:2" ht="15.75" customHeight="1">
      <c r="B536" s="22"/>
    </row>
    <row r="537" spans="2:2" ht="15.75" customHeight="1">
      <c r="B537" s="22"/>
    </row>
    <row r="538" spans="2:2" ht="15.75" customHeight="1">
      <c r="B538" s="22"/>
    </row>
    <row r="539" spans="2:2" ht="15.75" customHeight="1">
      <c r="B539" s="22"/>
    </row>
    <row r="540" spans="2:2" ht="15.75" customHeight="1">
      <c r="B540" s="22"/>
    </row>
    <row r="541" spans="2:2" ht="15.75" customHeight="1">
      <c r="B541" s="22"/>
    </row>
    <row r="542" spans="2:2" ht="15.75" customHeight="1">
      <c r="B542" s="22"/>
    </row>
    <row r="543" spans="2:2" ht="15.75" customHeight="1">
      <c r="B543" s="22"/>
    </row>
    <row r="544" spans="2:2" ht="15.75" customHeight="1">
      <c r="B544" s="22"/>
    </row>
    <row r="545" spans="2:2" ht="15.75" customHeight="1">
      <c r="B545" s="22"/>
    </row>
    <row r="546" spans="2:2" ht="15.75" customHeight="1">
      <c r="B546" s="22"/>
    </row>
    <row r="547" spans="2:2" ht="15.75" customHeight="1">
      <c r="B547" s="22"/>
    </row>
    <row r="548" spans="2:2" ht="15.75" customHeight="1">
      <c r="B548" s="22"/>
    </row>
    <row r="549" spans="2:2" ht="15.75" customHeight="1">
      <c r="B549" s="22"/>
    </row>
    <row r="550" spans="2:2" ht="15.75" customHeight="1">
      <c r="B550" s="22"/>
    </row>
    <row r="551" spans="2:2" ht="15.75" customHeight="1">
      <c r="B551" s="22"/>
    </row>
    <row r="552" spans="2:2" ht="15.75" customHeight="1">
      <c r="B552" s="22"/>
    </row>
    <row r="553" spans="2:2" ht="15.75" customHeight="1">
      <c r="B553" s="22"/>
    </row>
    <row r="554" spans="2:2" ht="15.75" customHeight="1">
      <c r="B554" s="22"/>
    </row>
    <row r="555" spans="2:2" ht="15.75" customHeight="1">
      <c r="B555" s="22"/>
    </row>
    <row r="556" spans="2:2" ht="15.75" customHeight="1">
      <c r="B556" s="22"/>
    </row>
    <row r="557" spans="2:2" ht="15.75" customHeight="1">
      <c r="B557" s="22"/>
    </row>
    <row r="558" spans="2:2" ht="15.75" customHeight="1">
      <c r="B558" s="22"/>
    </row>
    <row r="559" spans="2:2" ht="15.75" customHeight="1">
      <c r="B559" s="22"/>
    </row>
    <row r="560" spans="2:2" ht="15.75" customHeight="1">
      <c r="B560" s="22"/>
    </row>
    <row r="561" spans="2:2" ht="15.75" customHeight="1">
      <c r="B561" s="22"/>
    </row>
    <row r="562" spans="2:2" ht="15.75" customHeight="1">
      <c r="B562" s="22"/>
    </row>
    <row r="563" spans="2:2" ht="15.75" customHeight="1">
      <c r="B563" s="22"/>
    </row>
    <row r="564" spans="2:2" ht="15.75" customHeight="1">
      <c r="B564" s="22"/>
    </row>
    <row r="565" spans="2:2" ht="15.75" customHeight="1">
      <c r="B565" s="22"/>
    </row>
    <row r="566" spans="2:2" ht="15.75" customHeight="1">
      <c r="B566" s="22"/>
    </row>
    <row r="567" spans="2:2" ht="15.75" customHeight="1">
      <c r="B567" s="22"/>
    </row>
    <row r="568" spans="2:2" ht="15.75" customHeight="1">
      <c r="B568" s="22"/>
    </row>
    <row r="569" spans="2:2" ht="15.75" customHeight="1">
      <c r="B569" s="22"/>
    </row>
    <row r="570" spans="2:2" ht="15.75" customHeight="1">
      <c r="B570" s="22"/>
    </row>
    <row r="571" spans="2:2" ht="15.75" customHeight="1">
      <c r="B571" s="22"/>
    </row>
    <row r="572" spans="2:2" ht="15.75" customHeight="1">
      <c r="B572" s="22"/>
    </row>
    <row r="573" spans="2:2" ht="15.75" customHeight="1">
      <c r="B573" s="22"/>
    </row>
    <row r="574" spans="2:2" ht="15.75" customHeight="1">
      <c r="B574" s="22"/>
    </row>
    <row r="575" spans="2:2" ht="15.75" customHeight="1">
      <c r="B575" s="22"/>
    </row>
    <row r="576" spans="2:2" ht="15.75" customHeight="1">
      <c r="B576" s="22"/>
    </row>
    <row r="577" spans="2:2" ht="15.75" customHeight="1">
      <c r="B577" s="22"/>
    </row>
    <row r="578" spans="2:2" ht="15.75" customHeight="1">
      <c r="B578" s="22"/>
    </row>
    <row r="579" spans="2:2" ht="15.75" customHeight="1">
      <c r="B579" s="22"/>
    </row>
    <row r="580" spans="2:2" ht="15.75" customHeight="1">
      <c r="B580" s="22"/>
    </row>
    <row r="581" spans="2:2" ht="15.75" customHeight="1">
      <c r="B581" s="22"/>
    </row>
    <row r="582" spans="2:2" ht="15.75" customHeight="1">
      <c r="B582" s="22"/>
    </row>
    <row r="583" spans="2:2" ht="15.75" customHeight="1">
      <c r="B583" s="22"/>
    </row>
    <row r="584" spans="2:2" ht="15.75" customHeight="1">
      <c r="B584" s="22"/>
    </row>
    <row r="585" spans="2:2" ht="15.75" customHeight="1">
      <c r="B585" s="22"/>
    </row>
    <row r="586" spans="2:2" ht="15.75" customHeight="1">
      <c r="B586" s="22"/>
    </row>
    <row r="587" spans="2:2" ht="15.75" customHeight="1">
      <c r="B587" s="22"/>
    </row>
    <row r="588" spans="2:2" ht="15.75" customHeight="1">
      <c r="B588" s="22"/>
    </row>
    <row r="589" spans="2:2" ht="15.75" customHeight="1">
      <c r="B589" s="22"/>
    </row>
    <row r="590" spans="2:2" ht="15.75" customHeight="1">
      <c r="B590" s="22"/>
    </row>
    <row r="591" spans="2:2" ht="15.75" customHeight="1">
      <c r="B591" s="22"/>
    </row>
    <row r="592" spans="2:2" ht="15.75" customHeight="1">
      <c r="B592" s="22"/>
    </row>
    <row r="593" spans="2:2" ht="15.75" customHeight="1">
      <c r="B593" s="22"/>
    </row>
    <row r="594" spans="2:2" ht="15.75" customHeight="1">
      <c r="B594" s="22"/>
    </row>
    <row r="595" spans="2:2" ht="15.75" customHeight="1">
      <c r="B595" s="22"/>
    </row>
    <row r="596" spans="2:2" ht="15.75" customHeight="1">
      <c r="B596" s="22"/>
    </row>
    <row r="597" spans="2:2" ht="15.75" customHeight="1">
      <c r="B597" s="22"/>
    </row>
    <row r="598" spans="2:2" ht="15.75" customHeight="1">
      <c r="B598" s="22"/>
    </row>
    <row r="599" spans="2:2" ht="15.75" customHeight="1">
      <c r="B599" s="22"/>
    </row>
    <row r="600" spans="2:2" ht="15.75" customHeight="1">
      <c r="B600" s="22"/>
    </row>
    <row r="601" spans="2:2" ht="15.75" customHeight="1">
      <c r="B601" s="22"/>
    </row>
    <row r="602" spans="2:2" ht="15.75" customHeight="1">
      <c r="B602" s="22"/>
    </row>
    <row r="603" spans="2:2" ht="15.75" customHeight="1">
      <c r="B603" s="22"/>
    </row>
    <row r="604" spans="2:2" ht="15.75" customHeight="1">
      <c r="B604" s="22"/>
    </row>
    <row r="605" spans="2:2" ht="15.75" customHeight="1">
      <c r="B605" s="22"/>
    </row>
    <row r="606" spans="2:2" ht="15.75" customHeight="1">
      <c r="B606" s="22"/>
    </row>
    <row r="607" spans="2:2" ht="15.75" customHeight="1">
      <c r="B607" s="22"/>
    </row>
    <row r="608" spans="2:2" ht="15.75" customHeight="1">
      <c r="B608" s="22"/>
    </row>
    <row r="609" spans="2:2" ht="15.75" customHeight="1">
      <c r="B609" s="22"/>
    </row>
    <row r="610" spans="2:2" ht="15.75" customHeight="1">
      <c r="B610" s="22"/>
    </row>
    <row r="611" spans="2:2" ht="15.75" customHeight="1">
      <c r="B611" s="22"/>
    </row>
    <row r="612" spans="2:2" ht="15.75" customHeight="1">
      <c r="B612" s="22"/>
    </row>
    <row r="613" spans="2:2" ht="15.75" customHeight="1">
      <c r="B613" s="22"/>
    </row>
    <row r="614" spans="2:2" ht="15.75" customHeight="1">
      <c r="B614" s="22"/>
    </row>
    <row r="615" spans="2:2" ht="15.75" customHeight="1">
      <c r="B615" s="22"/>
    </row>
    <row r="616" spans="2:2" ht="15.75" customHeight="1">
      <c r="B616" s="22"/>
    </row>
    <row r="617" spans="2:2" ht="15.75" customHeight="1">
      <c r="B617" s="22"/>
    </row>
    <row r="618" spans="2:2" ht="15.75" customHeight="1">
      <c r="B618" s="22"/>
    </row>
    <row r="619" spans="2:2" ht="15.75" customHeight="1">
      <c r="B619" s="22"/>
    </row>
    <row r="620" spans="2:2" ht="15.75" customHeight="1">
      <c r="B620" s="22"/>
    </row>
    <row r="621" spans="2:2" ht="15.75" customHeight="1">
      <c r="B621" s="22"/>
    </row>
    <row r="622" spans="2:2" ht="15.75" customHeight="1">
      <c r="B622" s="22"/>
    </row>
    <row r="623" spans="2:2" ht="15.75" customHeight="1">
      <c r="B623" s="22"/>
    </row>
    <row r="624" spans="2:2" ht="15.75" customHeight="1">
      <c r="B624" s="22"/>
    </row>
    <row r="625" spans="2:2" ht="15.75" customHeight="1">
      <c r="B625" s="22"/>
    </row>
    <row r="626" spans="2:2" ht="15.75" customHeight="1">
      <c r="B626" s="22"/>
    </row>
    <row r="627" spans="2:2" ht="15.75" customHeight="1">
      <c r="B627" s="22"/>
    </row>
    <row r="628" spans="2:2" ht="15.75" customHeight="1">
      <c r="B628" s="22"/>
    </row>
    <row r="629" spans="2:2" ht="15.75" customHeight="1">
      <c r="B629" s="22"/>
    </row>
    <row r="630" spans="2:2" ht="15.75" customHeight="1">
      <c r="B630" s="22"/>
    </row>
    <row r="631" spans="2:2" ht="15.75" customHeight="1">
      <c r="B631" s="22"/>
    </row>
    <row r="632" spans="2:2" ht="15.75" customHeight="1">
      <c r="B632" s="22"/>
    </row>
    <row r="633" spans="2:2" ht="15.75" customHeight="1">
      <c r="B633" s="22"/>
    </row>
    <row r="634" spans="2:2" ht="15.75" customHeight="1">
      <c r="B634" s="22"/>
    </row>
    <row r="635" spans="2:2" ht="15.75" customHeight="1">
      <c r="B635" s="22"/>
    </row>
    <row r="636" spans="2:2" ht="15.75" customHeight="1">
      <c r="B636" s="22"/>
    </row>
    <row r="637" spans="2:2" ht="15.75" customHeight="1">
      <c r="B637" s="22"/>
    </row>
    <row r="638" spans="2:2" ht="15.75" customHeight="1">
      <c r="B638" s="22"/>
    </row>
    <row r="639" spans="2:2" ht="15.75" customHeight="1">
      <c r="B639" s="22"/>
    </row>
    <row r="640" spans="2:2" ht="15.75" customHeight="1">
      <c r="B640" s="22"/>
    </row>
    <row r="641" spans="2:2" ht="15.75" customHeight="1">
      <c r="B641" s="22"/>
    </row>
    <row r="642" spans="2:2" ht="15.75" customHeight="1">
      <c r="B642" s="22"/>
    </row>
    <row r="643" spans="2:2" ht="15.75" customHeight="1">
      <c r="B643" s="22"/>
    </row>
    <row r="644" spans="2:2" ht="15.75" customHeight="1">
      <c r="B644" s="22"/>
    </row>
    <row r="645" spans="2:2" ht="15.75" customHeight="1">
      <c r="B645" s="22"/>
    </row>
    <row r="646" spans="2:2" ht="15.75" customHeight="1">
      <c r="B646" s="22"/>
    </row>
    <row r="647" spans="2:2" ht="15.75" customHeight="1">
      <c r="B647" s="22"/>
    </row>
    <row r="648" spans="2:2" ht="15.75" customHeight="1">
      <c r="B648" s="22"/>
    </row>
    <row r="649" spans="2:2" ht="15.75" customHeight="1">
      <c r="B649" s="22"/>
    </row>
    <row r="650" spans="2:2" ht="15.75" customHeight="1">
      <c r="B650" s="22"/>
    </row>
    <row r="651" spans="2:2" ht="15.75" customHeight="1">
      <c r="B651" s="22"/>
    </row>
    <row r="652" spans="2:2" ht="15.75" customHeight="1">
      <c r="B652" s="22"/>
    </row>
    <row r="653" spans="2:2" ht="15.75" customHeight="1">
      <c r="B653" s="22"/>
    </row>
    <row r="654" spans="2:2" ht="15.75" customHeight="1">
      <c r="B654" s="22"/>
    </row>
    <row r="655" spans="2:2" ht="15.75" customHeight="1">
      <c r="B655" s="22"/>
    </row>
    <row r="656" spans="2:2" ht="15.75" customHeight="1">
      <c r="B656" s="22"/>
    </row>
    <row r="657" spans="2:2" ht="15.75" customHeight="1">
      <c r="B657" s="22"/>
    </row>
    <row r="658" spans="2:2" ht="15.75" customHeight="1">
      <c r="B658" s="22"/>
    </row>
    <row r="659" spans="2:2" ht="15.75" customHeight="1">
      <c r="B659" s="22"/>
    </row>
    <row r="660" spans="2:2" ht="15.75" customHeight="1">
      <c r="B660" s="22"/>
    </row>
    <row r="661" spans="2:2" ht="15.75" customHeight="1">
      <c r="B661" s="22"/>
    </row>
    <row r="662" spans="2:2" ht="15.75" customHeight="1">
      <c r="B662" s="22"/>
    </row>
    <row r="663" spans="2:2" ht="15.75" customHeight="1">
      <c r="B663" s="22"/>
    </row>
    <row r="664" spans="2:2" ht="15.75" customHeight="1">
      <c r="B664" s="22"/>
    </row>
    <row r="665" spans="2:2" ht="15.75" customHeight="1">
      <c r="B665" s="22"/>
    </row>
    <row r="666" spans="2:2" ht="15.75" customHeight="1">
      <c r="B666" s="22"/>
    </row>
    <row r="667" spans="2:2" ht="15.75" customHeight="1">
      <c r="B667" s="22"/>
    </row>
    <row r="668" spans="2:2" ht="15.75" customHeight="1">
      <c r="B668" s="22"/>
    </row>
    <row r="669" spans="2:2" ht="15.75" customHeight="1">
      <c r="B669" s="22"/>
    </row>
    <row r="670" spans="2:2" ht="15.75" customHeight="1">
      <c r="B670" s="22"/>
    </row>
    <row r="671" spans="2:2" ht="15.75" customHeight="1">
      <c r="B671" s="22"/>
    </row>
    <row r="672" spans="2:2" ht="15.75" customHeight="1">
      <c r="B672" s="22"/>
    </row>
    <row r="673" spans="2:2" ht="15.75" customHeight="1">
      <c r="B673" s="22"/>
    </row>
    <row r="674" spans="2:2" ht="15.75" customHeight="1">
      <c r="B674" s="22"/>
    </row>
    <row r="675" spans="2:2" ht="15.75" customHeight="1">
      <c r="B675" s="22"/>
    </row>
    <row r="676" spans="2:2" ht="15.75" customHeight="1">
      <c r="B676" s="22"/>
    </row>
    <row r="677" spans="2:2" ht="15.75" customHeight="1">
      <c r="B677" s="22"/>
    </row>
    <row r="678" spans="2:2" ht="15.75" customHeight="1">
      <c r="B678" s="22"/>
    </row>
    <row r="679" spans="2:2" ht="15.75" customHeight="1">
      <c r="B679" s="22"/>
    </row>
    <row r="680" spans="2:2" ht="15.75" customHeight="1">
      <c r="B680" s="22"/>
    </row>
    <row r="681" spans="2:2" ht="15.75" customHeight="1">
      <c r="B681" s="22"/>
    </row>
    <row r="682" spans="2:2" ht="15.75" customHeight="1">
      <c r="B682" s="22"/>
    </row>
    <row r="683" spans="2:2" ht="15.75" customHeight="1">
      <c r="B683" s="22"/>
    </row>
    <row r="684" spans="2:2" ht="15.75" customHeight="1">
      <c r="B684" s="22"/>
    </row>
    <row r="685" spans="2:2" ht="15.75" customHeight="1">
      <c r="B685" s="22"/>
    </row>
    <row r="686" spans="2:2" ht="15.75" customHeight="1">
      <c r="B686" s="22"/>
    </row>
    <row r="687" spans="2:2" ht="15.75" customHeight="1">
      <c r="B687" s="22"/>
    </row>
    <row r="688" spans="2:2" ht="15.75" customHeight="1">
      <c r="B688" s="22"/>
    </row>
    <row r="689" spans="2:2" ht="15.75" customHeight="1">
      <c r="B689" s="22"/>
    </row>
    <row r="690" spans="2:2" ht="15.75" customHeight="1">
      <c r="B690" s="22"/>
    </row>
    <row r="691" spans="2:2" ht="15.75" customHeight="1">
      <c r="B691" s="22"/>
    </row>
    <row r="692" spans="2:2" ht="15.75" customHeight="1">
      <c r="B692" s="22"/>
    </row>
    <row r="693" spans="2:2" ht="15.75" customHeight="1">
      <c r="B693" s="22"/>
    </row>
    <row r="694" spans="2:2" ht="15.75" customHeight="1">
      <c r="B694" s="22"/>
    </row>
    <row r="695" spans="2:2" ht="15.75" customHeight="1">
      <c r="B695" s="22"/>
    </row>
    <row r="696" spans="2:2" ht="15.75" customHeight="1">
      <c r="B696" s="22"/>
    </row>
    <row r="697" spans="2:2" ht="15.75" customHeight="1">
      <c r="B697" s="22"/>
    </row>
    <row r="698" spans="2:2" ht="15.75" customHeight="1">
      <c r="B698" s="22"/>
    </row>
    <row r="699" spans="2:2" ht="15.75" customHeight="1">
      <c r="B699" s="22"/>
    </row>
    <row r="700" spans="2:2" ht="15.75" customHeight="1">
      <c r="B700" s="22"/>
    </row>
    <row r="701" spans="2:2" ht="15.75" customHeight="1">
      <c r="B701" s="22"/>
    </row>
    <row r="702" spans="2:2" ht="15.75" customHeight="1">
      <c r="B702" s="22"/>
    </row>
    <row r="703" spans="2:2" ht="15.75" customHeight="1">
      <c r="B703" s="22"/>
    </row>
    <row r="704" spans="2:2" ht="15.75" customHeight="1">
      <c r="B704" s="22"/>
    </row>
    <row r="705" spans="2:2" ht="15.75" customHeight="1">
      <c r="B705" s="22"/>
    </row>
    <row r="706" spans="2:2" ht="15.75" customHeight="1">
      <c r="B706" s="22"/>
    </row>
    <row r="707" spans="2:2" ht="15.75" customHeight="1">
      <c r="B707" s="22"/>
    </row>
    <row r="708" spans="2:2" ht="15.75" customHeight="1">
      <c r="B708" s="22"/>
    </row>
    <row r="709" spans="2:2" ht="15.75" customHeight="1">
      <c r="B709" s="22"/>
    </row>
    <row r="710" spans="2:2" ht="15.75" customHeight="1">
      <c r="B710" s="22"/>
    </row>
    <row r="711" spans="2:2" ht="15.75" customHeight="1">
      <c r="B711" s="22"/>
    </row>
    <row r="712" spans="2:2" ht="15.75" customHeight="1">
      <c r="B712" s="22"/>
    </row>
    <row r="713" spans="2:2" ht="15.75" customHeight="1">
      <c r="B713" s="22"/>
    </row>
    <row r="714" spans="2:2" ht="15.75" customHeight="1">
      <c r="B714" s="22"/>
    </row>
    <row r="715" spans="2:2" ht="15.75" customHeight="1">
      <c r="B715" s="22"/>
    </row>
    <row r="716" spans="2:2" ht="15.75" customHeight="1">
      <c r="B716" s="22"/>
    </row>
    <row r="717" spans="2:2" ht="15.75" customHeight="1">
      <c r="B717" s="22"/>
    </row>
    <row r="718" spans="2:2" ht="15.75" customHeight="1">
      <c r="B718" s="22"/>
    </row>
    <row r="719" spans="2:2" ht="15.75" customHeight="1">
      <c r="B719" s="22"/>
    </row>
    <row r="720" spans="2:2" ht="15.75" customHeight="1">
      <c r="B720" s="22"/>
    </row>
    <row r="721" spans="2:2" ht="15.75" customHeight="1">
      <c r="B721" s="22"/>
    </row>
    <row r="722" spans="2:2" ht="15.75" customHeight="1">
      <c r="B722" s="22"/>
    </row>
    <row r="723" spans="2:2" ht="15.75" customHeight="1">
      <c r="B723" s="22"/>
    </row>
    <row r="724" spans="2:2" ht="15.75" customHeight="1">
      <c r="B724" s="22"/>
    </row>
    <row r="725" spans="2:2" ht="15.75" customHeight="1">
      <c r="B725" s="22"/>
    </row>
    <row r="726" spans="2:2" ht="15.75" customHeight="1">
      <c r="B726" s="22"/>
    </row>
    <row r="727" spans="2:2" ht="15.75" customHeight="1">
      <c r="B727" s="22"/>
    </row>
    <row r="728" spans="2:2" ht="15.75" customHeight="1">
      <c r="B728" s="22"/>
    </row>
    <row r="729" spans="2:2" ht="15.75" customHeight="1">
      <c r="B729" s="22"/>
    </row>
    <row r="730" spans="2:2" ht="15.75" customHeight="1">
      <c r="B730" s="22"/>
    </row>
    <row r="731" spans="2:2" ht="15.75" customHeight="1">
      <c r="B731" s="22"/>
    </row>
    <row r="732" spans="2:2" ht="15.75" customHeight="1">
      <c r="B732" s="22"/>
    </row>
    <row r="733" spans="2:2" ht="15.75" customHeight="1">
      <c r="B733" s="22"/>
    </row>
    <row r="734" spans="2:2" ht="15.75" customHeight="1">
      <c r="B734" s="22"/>
    </row>
    <row r="735" spans="2:2" ht="15.75" customHeight="1">
      <c r="B735" s="22"/>
    </row>
    <row r="736" spans="2:2" ht="15.75" customHeight="1">
      <c r="B736" s="22"/>
    </row>
    <row r="737" spans="2:2" ht="15.75" customHeight="1">
      <c r="B737" s="22"/>
    </row>
    <row r="738" spans="2:2" ht="15.75" customHeight="1">
      <c r="B738" s="22"/>
    </row>
    <row r="739" spans="2:2" ht="15.75" customHeight="1">
      <c r="B739" s="22"/>
    </row>
    <row r="740" spans="2:2" ht="15.75" customHeight="1">
      <c r="B740" s="22"/>
    </row>
    <row r="741" spans="2:2" ht="15.75" customHeight="1">
      <c r="B741" s="22"/>
    </row>
    <row r="742" spans="2:2" ht="15.75" customHeight="1">
      <c r="B742" s="22"/>
    </row>
    <row r="743" spans="2:2" ht="15.75" customHeight="1">
      <c r="B743" s="22"/>
    </row>
    <row r="744" spans="2:2" ht="15.75" customHeight="1">
      <c r="B744" s="22"/>
    </row>
    <row r="745" spans="2:2" ht="15.75" customHeight="1">
      <c r="B745" s="22"/>
    </row>
    <row r="746" spans="2:2" ht="15.75" customHeight="1">
      <c r="B746" s="22"/>
    </row>
    <row r="747" spans="2:2" ht="15.75" customHeight="1">
      <c r="B747" s="22"/>
    </row>
    <row r="748" spans="2:2" ht="15.75" customHeight="1">
      <c r="B748" s="22"/>
    </row>
    <row r="749" spans="2:2" ht="15.75" customHeight="1">
      <c r="B749" s="22"/>
    </row>
    <row r="750" spans="2:2" ht="15.75" customHeight="1">
      <c r="B750" s="22"/>
    </row>
    <row r="751" spans="2:2" ht="15.75" customHeight="1">
      <c r="B751" s="22"/>
    </row>
    <row r="752" spans="2:2" ht="15.75" customHeight="1">
      <c r="B752" s="22"/>
    </row>
    <row r="753" spans="2:2" ht="15.75" customHeight="1">
      <c r="B753" s="22"/>
    </row>
    <row r="754" spans="2:2" ht="15.75" customHeight="1">
      <c r="B754" s="22"/>
    </row>
    <row r="755" spans="2:2" ht="15.75" customHeight="1">
      <c r="B755" s="22"/>
    </row>
    <row r="756" spans="2:2" ht="15.75" customHeight="1">
      <c r="B756" s="22"/>
    </row>
    <row r="757" spans="2:2" ht="15.75" customHeight="1">
      <c r="B757" s="22"/>
    </row>
    <row r="758" spans="2:2" ht="15.75" customHeight="1">
      <c r="B758" s="22"/>
    </row>
    <row r="759" spans="2:2" ht="15.75" customHeight="1">
      <c r="B759" s="22"/>
    </row>
    <row r="760" spans="2:2" ht="15.75" customHeight="1">
      <c r="B760" s="22"/>
    </row>
    <row r="761" spans="2:2" ht="15.75" customHeight="1">
      <c r="B761" s="22"/>
    </row>
    <row r="762" spans="2:2" ht="15.75" customHeight="1">
      <c r="B762" s="22"/>
    </row>
    <row r="763" spans="2:2" ht="15.75" customHeight="1">
      <c r="B763" s="22"/>
    </row>
    <row r="764" spans="2:2" ht="15.75" customHeight="1">
      <c r="B764" s="22"/>
    </row>
    <row r="765" spans="2:2" ht="15.75" customHeight="1">
      <c r="B765" s="22"/>
    </row>
    <row r="766" spans="2:2" ht="15.75" customHeight="1">
      <c r="B766" s="22"/>
    </row>
    <row r="767" spans="2:2" ht="15.75" customHeight="1">
      <c r="B767" s="22"/>
    </row>
    <row r="768" spans="2:2" ht="15.75" customHeight="1">
      <c r="B768" s="22"/>
    </row>
    <row r="769" spans="2:2" ht="15.75" customHeight="1">
      <c r="B769" s="22"/>
    </row>
    <row r="770" spans="2:2" ht="15.75" customHeight="1">
      <c r="B770" s="22"/>
    </row>
    <row r="771" spans="2:2" ht="15.75" customHeight="1">
      <c r="B771" s="22"/>
    </row>
    <row r="772" spans="2:2" ht="15.75" customHeight="1">
      <c r="B772" s="22"/>
    </row>
    <row r="773" spans="2:2" ht="15.75" customHeight="1">
      <c r="B773" s="22"/>
    </row>
    <row r="774" spans="2:2" ht="15.75" customHeight="1">
      <c r="B774" s="22"/>
    </row>
    <row r="775" spans="2:2" ht="15.75" customHeight="1">
      <c r="B775" s="22"/>
    </row>
    <row r="776" spans="2:2" ht="15.75" customHeight="1">
      <c r="B776" s="22"/>
    </row>
    <row r="777" spans="2:2" ht="15.75" customHeight="1">
      <c r="B777" s="22"/>
    </row>
    <row r="778" spans="2:2" ht="15.75" customHeight="1">
      <c r="B778" s="22"/>
    </row>
    <row r="779" spans="2:2" ht="15.75" customHeight="1">
      <c r="B779" s="22"/>
    </row>
    <row r="780" spans="2:2" ht="15.75" customHeight="1">
      <c r="B780" s="22"/>
    </row>
    <row r="781" spans="2:2" ht="15.75" customHeight="1">
      <c r="B781" s="22"/>
    </row>
    <row r="782" spans="2:2" ht="15.75" customHeight="1">
      <c r="B782" s="22"/>
    </row>
    <row r="783" spans="2:2" ht="15.75" customHeight="1">
      <c r="B783" s="22"/>
    </row>
    <row r="784" spans="2:2" ht="15.75" customHeight="1">
      <c r="B784" s="22"/>
    </row>
    <row r="785" spans="2:2" ht="15.75" customHeight="1">
      <c r="B785" s="22"/>
    </row>
    <row r="786" spans="2:2" ht="15.75" customHeight="1">
      <c r="B786" s="22"/>
    </row>
    <row r="787" spans="2:2" ht="15.75" customHeight="1">
      <c r="B787" s="22"/>
    </row>
    <row r="788" spans="2:2" ht="15.75" customHeight="1">
      <c r="B788" s="22"/>
    </row>
    <row r="789" spans="2:2" ht="15.75" customHeight="1">
      <c r="B789" s="22"/>
    </row>
    <row r="790" spans="2:2" ht="15.75" customHeight="1">
      <c r="B790" s="22"/>
    </row>
    <row r="791" spans="2:2" ht="15.75" customHeight="1">
      <c r="B791" s="22"/>
    </row>
    <row r="792" spans="2:2" ht="15.75" customHeight="1">
      <c r="B792" s="22"/>
    </row>
    <row r="793" spans="2:2" ht="15.75" customHeight="1">
      <c r="B793" s="22"/>
    </row>
    <row r="794" spans="2:2" ht="15.75" customHeight="1">
      <c r="B794" s="22"/>
    </row>
    <row r="795" spans="2:2" ht="15.75" customHeight="1">
      <c r="B795" s="22"/>
    </row>
    <row r="796" spans="2:2" ht="15.75" customHeight="1">
      <c r="B796" s="22"/>
    </row>
    <row r="797" spans="2:2" ht="15.75" customHeight="1">
      <c r="B797" s="22"/>
    </row>
    <row r="798" spans="2:2" ht="15.75" customHeight="1">
      <c r="B798" s="22"/>
    </row>
    <row r="799" spans="2:2" ht="15.75" customHeight="1">
      <c r="B799" s="22"/>
    </row>
    <row r="800" spans="2:2" ht="15.75" customHeight="1">
      <c r="B800" s="22"/>
    </row>
    <row r="801" spans="2:2" ht="15.75" customHeight="1">
      <c r="B801" s="22"/>
    </row>
    <row r="802" spans="2:2" ht="15.75" customHeight="1">
      <c r="B802" s="22"/>
    </row>
    <row r="803" spans="2:2" ht="15.75" customHeight="1">
      <c r="B803" s="22"/>
    </row>
    <row r="804" spans="2:2" ht="15.75" customHeight="1">
      <c r="B804" s="22"/>
    </row>
    <row r="805" spans="2:2" ht="15.75" customHeight="1">
      <c r="B805" s="22"/>
    </row>
    <row r="806" spans="2:2" ht="15.75" customHeight="1">
      <c r="B806" s="22"/>
    </row>
    <row r="807" spans="2:2" ht="15.75" customHeight="1">
      <c r="B807" s="22"/>
    </row>
    <row r="808" spans="2:2" ht="15.75" customHeight="1">
      <c r="B808" s="22"/>
    </row>
    <row r="809" spans="2:2" ht="15.75" customHeight="1">
      <c r="B809" s="22"/>
    </row>
    <row r="810" spans="2:2" ht="15.75" customHeight="1">
      <c r="B810" s="22"/>
    </row>
    <row r="811" spans="2:2" ht="15.75" customHeight="1">
      <c r="B811" s="22"/>
    </row>
    <row r="812" spans="2:2" ht="15.75" customHeight="1">
      <c r="B812" s="22"/>
    </row>
    <row r="813" spans="2:2" ht="15.75" customHeight="1">
      <c r="B813" s="22"/>
    </row>
    <row r="814" spans="2:2" ht="15.75" customHeight="1">
      <c r="B814" s="22"/>
    </row>
    <row r="815" spans="2:2" ht="15.75" customHeight="1">
      <c r="B815" s="22"/>
    </row>
    <row r="816" spans="2:2" ht="15.75" customHeight="1">
      <c r="B816" s="22"/>
    </row>
    <row r="817" spans="2:2" ht="15.75" customHeight="1">
      <c r="B817" s="22"/>
    </row>
    <row r="818" spans="2:2" ht="15.75" customHeight="1">
      <c r="B818" s="22"/>
    </row>
    <row r="819" spans="2:2" ht="15.75" customHeight="1">
      <c r="B819" s="22"/>
    </row>
    <row r="820" spans="2:2" ht="15.75" customHeight="1">
      <c r="B820" s="22"/>
    </row>
    <row r="821" spans="2:2" ht="15.75" customHeight="1">
      <c r="B821" s="22"/>
    </row>
    <row r="822" spans="2:2" ht="15.75" customHeight="1">
      <c r="B822" s="22"/>
    </row>
    <row r="823" spans="2:2" ht="15.75" customHeight="1">
      <c r="B823" s="22"/>
    </row>
    <row r="824" spans="2:2" ht="15.75" customHeight="1">
      <c r="B824" s="22"/>
    </row>
    <row r="825" spans="2:2" ht="15.75" customHeight="1">
      <c r="B825" s="22"/>
    </row>
    <row r="826" spans="2:2" ht="15.75" customHeight="1">
      <c r="B826" s="22"/>
    </row>
    <row r="827" spans="2:2" ht="15.75" customHeight="1">
      <c r="B827" s="22"/>
    </row>
    <row r="828" spans="2:2" ht="15.75" customHeight="1">
      <c r="B828" s="22"/>
    </row>
    <row r="829" spans="2:2" ht="15.75" customHeight="1">
      <c r="B829" s="22"/>
    </row>
    <row r="830" spans="2:2" ht="15.75" customHeight="1">
      <c r="B830" s="22"/>
    </row>
    <row r="831" spans="2:2" ht="15.75" customHeight="1">
      <c r="B831" s="22"/>
    </row>
    <row r="832" spans="2:2" ht="15.75" customHeight="1">
      <c r="B832" s="22"/>
    </row>
    <row r="833" spans="2:2" ht="15.75" customHeight="1">
      <c r="B833" s="22"/>
    </row>
    <row r="834" spans="2:2" ht="15.75" customHeight="1">
      <c r="B834" s="22"/>
    </row>
    <row r="835" spans="2:2" ht="15.75" customHeight="1">
      <c r="B835" s="22"/>
    </row>
    <row r="836" spans="2:2" ht="15.75" customHeight="1">
      <c r="B836" s="22"/>
    </row>
    <row r="837" spans="2:2" ht="15.75" customHeight="1">
      <c r="B837" s="22"/>
    </row>
    <row r="838" spans="2:2" ht="15.75" customHeight="1">
      <c r="B838" s="22"/>
    </row>
    <row r="839" spans="2:2" ht="15.75" customHeight="1">
      <c r="B839" s="22"/>
    </row>
    <row r="840" spans="2:2" ht="15.75" customHeight="1">
      <c r="B840" s="22"/>
    </row>
    <row r="841" spans="2:2" ht="15.75" customHeight="1">
      <c r="B841" s="22"/>
    </row>
    <row r="842" spans="2:2" ht="15.75" customHeight="1">
      <c r="B842" s="22"/>
    </row>
    <row r="843" spans="2:2" ht="15.75" customHeight="1">
      <c r="B843" s="22"/>
    </row>
    <row r="844" spans="2:2" ht="15.75" customHeight="1">
      <c r="B844" s="22"/>
    </row>
    <row r="845" spans="2:2" ht="15.75" customHeight="1">
      <c r="B845" s="22"/>
    </row>
    <row r="846" spans="2:2" ht="15.75" customHeight="1">
      <c r="B846" s="22"/>
    </row>
    <row r="847" spans="2:2" ht="15.75" customHeight="1">
      <c r="B847" s="22"/>
    </row>
    <row r="848" spans="2:2" ht="15.75" customHeight="1">
      <c r="B848" s="22"/>
    </row>
    <row r="849" spans="2:2" ht="15.75" customHeight="1">
      <c r="B849" s="22"/>
    </row>
    <row r="850" spans="2:2" ht="15.75" customHeight="1">
      <c r="B850" s="22"/>
    </row>
    <row r="851" spans="2:2" ht="15.75" customHeight="1">
      <c r="B851" s="22"/>
    </row>
    <row r="852" spans="2:2" ht="15.75" customHeight="1">
      <c r="B852" s="22"/>
    </row>
    <row r="853" spans="2:2" ht="15.75" customHeight="1">
      <c r="B853" s="22"/>
    </row>
    <row r="854" spans="2:2" ht="15.75" customHeight="1">
      <c r="B854" s="22"/>
    </row>
    <row r="855" spans="2:2" ht="15.75" customHeight="1">
      <c r="B855" s="22"/>
    </row>
    <row r="856" spans="2:2" ht="15.75" customHeight="1">
      <c r="B856" s="22"/>
    </row>
    <row r="857" spans="2:2" ht="15.75" customHeight="1">
      <c r="B857" s="22"/>
    </row>
    <row r="858" spans="2:2" ht="15.75" customHeight="1">
      <c r="B858" s="22"/>
    </row>
    <row r="859" spans="2:2" ht="15.75" customHeight="1">
      <c r="B859" s="22"/>
    </row>
    <row r="860" spans="2:2" ht="15.75" customHeight="1">
      <c r="B860" s="22"/>
    </row>
    <row r="861" spans="2:2" ht="15.75" customHeight="1">
      <c r="B861" s="22"/>
    </row>
    <row r="862" spans="2:2" ht="15.75" customHeight="1">
      <c r="B862" s="22"/>
    </row>
    <row r="863" spans="2:2" ht="15.75" customHeight="1">
      <c r="B863" s="22"/>
    </row>
    <row r="864" spans="2:2" ht="15.75" customHeight="1">
      <c r="B864" s="22"/>
    </row>
    <row r="865" spans="2:2" ht="15.75" customHeight="1">
      <c r="B865" s="22"/>
    </row>
    <row r="866" spans="2:2" ht="15.75" customHeight="1">
      <c r="B866" s="22"/>
    </row>
    <row r="867" spans="2:2" ht="15.75" customHeight="1">
      <c r="B867" s="22"/>
    </row>
    <row r="868" spans="2:2" ht="15.75" customHeight="1">
      <c r="B868" s="22"/>
    </row>
    <row r="869" spans="2:2" ht="15.75" customHeight="1">
      <c r="B869" s="22"/>
    </row>
    <row r="870" spans="2:2" ht="15.75" customHeight="1">
      <c r="B870" s="22"/>
    </row>
    <row r="871" spans="2:2" ht="15.75" customHeight="1">
      <c r="B871" s="22"/>
    </row>
    <row r="872" spans="2:2" ht="15.75" customHeight="1">
      <c r="B872" s="22"/>
    </row>
    <row r="873" spans="2:2" ht="15.75" customHeight="1">
      <c r="B873" s="22"/>
    </row>
    <row r="874" spans="2:2" ht="15.75" customHeight="1">
      <c r="B874" s="22"/>
    </row>
    <row r="875" spans="2:2" ht="15.75" customHeight="1">
      <c r="B875" s="22"/>
    </row>
    <row r="876" spans="2:2" ht="15.75" customHeight="1">
      <c r="B876" s="22"/>
    </row>
    <row r="877" spans="2:2" ht="15.75" customHeight="1">
      <c r="B877" s="22"/>
    </row>
    <row r="878" spans="2:2" ht="15.75" customHeight="1">
      <c r="B878" s="22"/>
    </row>
    <row r="879" spans="2:2" ht="15.75" customHeight="1">
      <c r="B879" s="22"/>
    </row>
    <row r="880" spans="2:2" ht="15.75" customHeight="1">
      <c r="B880" s="22"/>
    </row>
    <row r="881" spans="2:2" ht="15.75" customHeight="1">
      <c r="B881" s="22"/>
    </row>
    <row r="882" spans="2:2" ht="15.75" customHeight="1">
      <c r="B882" s="22"/>
    </row>
    <row r="883" spans="2:2" ht="15.75" customHeight="1">
      <c r="B883" s="22"/>
    </row>
    <row r="884" spans="2:2" ht="15.75" customHeight="1">
      <c r="B884" s="22"/>
    </row>
    <row r="885" spans="2:2" ht="15.75" customHeight="1">
      <c r="B885" s="22"/>
    </row>
    <row r="886" spans="2:2" ht="15.75" customHeight="1">
      <c r="B886" s="22"/>
    </row>
    <row r="887" spans="2:2" ht="15.75" customHeight="1">
      <c r="B887" s="22"/>
    </row>
    <row r="888" spans="2:2" ht="15.75" customHeight="1">
      <c r="B888" s="22"/>
    </row>
    <row r="889" spans="2:2" ht="15.75" customHeight="1">
      <c r="B889" s="22"/>
    </row>
    <row r="890" spans="2:2" ht="15.75" customHeight="1">
      <c r="B890" s="22"/>
    </row>
    <row r="891" spans="2:2" ht="15.75" customHeight="1">
      <c r="B891" s="22"/>
    </row>
    <row r="892" spans="2:2" ht="15.75" customHeight="1">
      <c r="B892" s="22"/>
    </row>
    <row r="893" spans="2:2" ht="15.75" customHeight="1">
      <c r="B893" s="22"/>
    </row>
    <row r="894" spans="2:2" ht="15.75" customHeight="1">
      <c r="B894" s="22"/>
    </row>
    <row r="895" spans="2:2" ht="15.75" customHeight="1">
      <c r="B895" s="22"/>
    </row>
    <row r="896" spans="2:2" ht="15.75" customHeight="1">
      <c r="B896" s="22"/>
    </row>
    <row r="897" spans="2:2" ht="15.75" customHeight="1">
      <c r="B897" s="22"/>
    </row>
    <row r="898" spans="2:2" ht="15.75" customHeight="1">
      <c r="B898" s="22"/>
    </row>
    <row r="899" spans="2:2" ht="15.75" customHeight="1">
      <c r="B899" s="22"/>
    </row>
    <row r="900" spans="2:2" ht="15.75" customHeight="1">
      <c r="B900" s="22"/>
    </row>
    <row r="901" spans="2:2" ht="15.75" customHeight="1">
      <c r="B901" s="22"/>
    </row>
    <row r="902" spans="2:2" ht="15.75" customHeight="1">
      <c r="B902" s="22"/>
    </row>
    <row r="903" spans="2:2" ht="15.75" customHeight="1">
      <c r="B903" s="22"/>
    </row>
    <row r="904" spans="2:2" ht="15.75" customHeight="1">
      <c r="B904" s="22"/>
    </row>
    <row r="905" spans="2:2" ht="15.75" customHeight="1">
      <c r="B905" s="22"/>
    </row>
    <row r="906" spans="2:2" ht="15.75" customHeight="1">
      <c r="B906" s="22"/>
    </row>
    <row r="907" spans="2:2" ht="15.75" customHeight="1">
      <c r="B907" s="22"/>
    </row>
    <row r="908" spans="2:2" ht="15.75" customHeight="1">
      <c r="B908" s="22"/>
    </row>
    <row r="909" spans="2:2" ht="15.75" customHeight="1">
      <c r="B909" s="22"/>
    </row>
    <row r="910" spans="2:2" ht="15.75" customHeight="1">
      <c r="B910" s="22"/>
    </row>
    <row r="911" spans="2:2" ht="15.75" customHeight="1">
      <c r="B911" s="22"/>
    </row>
    <row r="912" spans="2:2" ht="15.75" customHeight="1">
      <c r="B912" s="22"/>
    </row>
    <row r="913" spans="2:2" ht="15.75" customHeight="1">
      <c r="B913" s="22"/>
    </row>
    <row r="914" spans="2:2" ht="15.75" customHeight="1">
      <c r="B914" s="22"/>
    </row>
    <row r="915" spans="2:2" ht="15.75" customHeight="1">
      <c r="B915" s="22"/>
    </row>
    <row r="916" spans="2:2" ht="15.75" customHeight="1">
      <c r="B916" s="22"/>
    </row>
    <row r="917" spans="2:2" ht="15.75" customHeight="1">
      <c r="B917" s="22"/>
    </row>
    <row r="918" spans="2:2" ht="15.75" customHeight="1">
      <c r="B918" s="22"/>
    </row>
    <row r="919" spans="2:2" ht="15.75" customHeight="1">
      <c r="B919" s="22"/>
    </row>
    <row r="920" spans="2:2" ht="15.75" customHeight="1">
      <c r="B920" s="22"/>
    </row>
    <row r="921" spans="2:2" ht="15.75" customHeight="1">
      <c r="B921" s="22"/>
    </row>
    <row r="922" spans="2:2" ht="15.75" customHeight="1">
      <c r="B922" s="22"/>
    </row>
    <row r="923" spans="2:2" ht="15.75" customHeight="1">
      <c r="B923" s="22"/>
    </row>
    <row r="924" spans="2:2" ht="15.75" customHeight="1">
      <c r="B924" s="22"/>
    </row>
    <row r="925" spans="2:2" ht="15.75" customHeight="1">
      <c r="B925" s="22"/>
    </row>
    <row r="926" spans="2:2" ht="15.75" customHeight="1">
      <c r="B926" s="22"/>
    </row>
    <row r="927" spans="2:2" ht="15.75" customHeight="1">
      <c r="B927" s="22"/>
    </row>
    <row r="928" spans="2:2" ht="15.75" customHeight="1">
      <c r="B928" s="22"/>
    </row>
    <row r="929" spans="2:2" ht="15.75" customHeight="1">
      <c r="B929" s="22"/>
    </row>
    <row r="930" spans="2:2" ht="15.75" customHeight="1">
      <c r="B930" s="22"/>
    </row>
    <row r="931" spans="2:2" ht="15.75" customHeight="1">
      <c r="B931" s="22"/>
    </row>
    <row r="932" spans="2:2" ht="15.75" customHeight="1">
      <c r="B932" s="22"/>
    </row>
    <row r="933" spans="2:2" ht="15.75" customHeight="1">
      <c r="B933" s="22"/>
    </row>
    <row r="934" spans="2:2" ht="15.75" customHeight="1">
      <c r="B934" s="22"/>
    </row>
    <row r="935" spans="2:2" ht="15.75" customHeight="1">
      <c r="B935" s="22"/>
    </row>
    <row r="936" spans="2:2" ht="15.75" customHeight="1">
      <c r="B936" s="22"/>
    </row>
    <row r="937" spans="2:2" ht="15.75" customHeight="1">
      <c r="B937" s="22"/>
    </row>
    <row r="938" spans="2:2" ht="15.75" customHeight="1">
      <c r="B938" s="22"/>
    </row>
    <row r="939" spans="2:2" ht="15.75" customHeight="1">
      <c r="B939" s="22"/>
    </row>
    <row r="940" spans="2:2" ht="15.75" customHeight="1">
      <c r="B940" s="22"/>
    </row>
    <row r="941" spans="2:2" ht="15.75" customHeight="1">
      <c r="B941" s="22"/>
    </row>
    <row r="942" spans="2:2" ht="15.75" customHeight="1">
      <c r="B942" s="22"/>
    </row>
    <row r="943" spans="2:2" ht="15.75" customHeight="1">
      <c r="B943" s="22"/>
    </row>
    <row r="944" spans="2:2" ht="15.75" customHeight="1">
      <c r="B944" s="22"/>
    </row>
    <row r="945" spans="2:2" ht="15.75" customHeight="1">
      <c r="B945" s="22"/>
    </row>
    <row r="946" spans="2:2" ht="15.75" customHeight="1">
      <c r="B946" s="22"/>
    </row>
    <row r="947" spans="2:2" ht="15.75" customHeight="1">
      <c r="B947" s="22"/>
    </row>
    <row r="948" spans="2:2" ht="15.75" customHeight="1">
      <c r="B948" s="22"/>
    </row>
    <row r="949" spans="2:2" ht="15.75" customHeight="1">
      <c r="B949" s="22"/>
    </row>
    <row r="950" spans="2:2" ht="15.75" customHeight="1">
      <c r="B950" s="22"/>
    </row>
    <row r="951" spans="2:2" ht="15.75" customHeight="1">
      <c r="B951" s="22"/>
    </row>
    <row r="952" spans="2:2" ht="15.75" customHeight="1">
      <c r="B952" s="22"/>
    </row>
    <row r="953" spans="2:2" ht="15.75" customHeight="1">
      <c r="B953" s="22"/>
    </row>
    <row r="954" spans="2:2" ht="15.75" customHeight="1">
      <c r="B954" s="22"/>
    </row>
    <row r="955" spans="2:2" ht="15.75" customHeight="1">
      <c r="B955" s="22"/>
    </row>
    <row r="956" spans="2:2" ht="15.75" customHeight="1">
      <c r="B956" s="22"/>
    </row>
    <row r="957" spans="2:2" ht="15.75" customHeight="1">
      <c r="B957" s="22"/>
    </row>
    <row r="958" spans="2:2" ht="15.75" customHeight="1">
      <c r="B958" s="22"/>
    </row>
    <row r="959" spans="2:2" ht="15.75" customHeight="1">
      <c r="B959" s="22"/>
    </row>
    <row r="960" spans="2:2" ht="15.75" customHeight="1">
      <c r="B960" s="22"/>
    </row>
    <row r="961" spans="2:2" ht="15.75" customHeight="1">
      <c r="B961" s="22"/>
    </row>
    <row r="962" spans="2:2" ht="15.75" customHeight="1">
      <c r="B962" s="22"/>
    </row>
    <row r="963" spans="2:2" ht="15.75" customHeight="1">
      <c r="B963" s="22"/>
    </row>
    <row r="964" spans="2:2" ht="15.75" customHeight="1">
      <c r="B964" s="22"/>
    </row>
    <row r="965" spans="2:2" ht="15.75" customHeight="1">
      <c r="B965" s="22"/>
    </row>
    <row r="966" spans="2:2" ht="15.75" customHeight="1">
      <c r="B966" s="22"/>
    </row>
    <row r="967" spans="2:2" ht="15.75" customHeight="1">
      <c r="B967" s="22"/>
    </row>
    <row r="968" spans="2:2" ht="15.75" customHeight="1">
      <c r="B968" s="22"/>
    </row>
    <row r="969" spans="2:2" ht="15.75" customHeight="1">
      <c r="B969" s="22"/>
    </row>
    <row r="970" spans="2:2" ht="15.75" customHeight="1">
      <c r="B970" s="22"/>
    </row>
    <row r="971" spans="2:2" ht="15.75" customHeight="1">
      <c r="B971" s="22"/>
    </row>
    <row r="972" spans="2:2" ht="15.75" customHeight="1">
      <c r="B972" s="22"/>
    </row>
    <row r="973" spans="2:2" ht="15.75" customHeight="1">
      <c r="B973" s="22"/>
    </row>
    <row r="974" spans="2:2" ht="15.75" customHeight="1">
      <c r="B974" s="22"/>
    </row>
    <row r="975" spans="2:2" ht="15.75" customHeight="1">
      <c r="B975" s="22"/>
    </row>
    <row r="976" spans="2:2" ht="15.75" customHeight="1">
      <c r="B976" s="22"/>
    </row>
    <row r="977" spans="2:2" ht="15.75" customHeight="1">
      <c r="B977" s="22"/>
    </row>
    <row r="978" spans="2:2" ht="15.75" customHeight="1">
      <c r="B978" s="22"/>
    </row>
    <row r="979" spans="2:2" ht="15.75" customHeight="1">
      <c r="B979" s="22"/>
    </row>
    <row r="980" spans="2:2" ht="15.75" customHeight="1">
      <c r="B980" s="22"/>
    </row>
    <row r="981" spans="2:2" ht="15.75" customHeight="1">
      <c r="B981" s="22"/>
    </row>
    <row r="982" spans="2:2" ht="15.75" customHeight="1">
      <c r="B982" s="22"/>
    </row>
    <row r="983" spans="2:2" ht="15.75" customHeight="1">
      <c r="B983" s="22"/>
    </row>
    <row r="984" spans="2:2" ht="15.75" customHeight="1">
      <c r="B984" s="22"/>
    </row>
    <row r="985" spans="2:2" ht="15.75" customHeight="1">
      <c r="B985" s="22"/>
    </row>
    <row r="986" spans="2:2" ht="15.75" customHeight="1">
      <c r="B986" s="22"/>
    </row>
    <row r="987" spans="2:2" ht="15.75" customHeight="1">
      <c r="B987" s="22"/>
    </row>
    <row r="988" spans="2:2" ht="15.75" customHeight="1">
      <c r="B988" s="22"/>
    </row>
    <row r="989" spans="2:2" ht="15.75" customHeight="1">
      <c r="B989" s="22"/>
    </row>
    <row r="990" spans="2:2" ht="15.75" customHeight="1">
      <c r="B990" s="22"/>
    </row>
    <row r="991" spans="2:2" ht="15.75" customHeight="1">
      <c r="B991" s="22"/>
    </row>
    <row r="992" spans="2:2" ht="15.75" customHeight="1">
      <c r="B992" s="22"/>
    </row>
    <row r="993" spans="2:2" ht="15.75" customHeight="1">
      <c r="B993" s="22"/>
    </row>
    <row r="994" spans="2:2" ht="15.75" customHeight="1">
      <c r="B994" s="22"/>
    </row>
    <row r="995" spans="2:2" ht="15.75" customHeight="1">
      <c r="B995" s="22"/>
    </row>
    <row r="996" spans="2:2" ht="15.75" customHeight="1">
      <c r="B996" s="22"/>
    </row>
    <row r="997" spans="2:2" ht="15.75" customHeight="1">
      <c r="B997" s="22"/>
    </row>
    <row r="998" spans="2:2" ht="15.75" customHeight="1">
      <c r="B998" s="22"/>
    </row>
    <row r="999" spans="2:2" ht="15.75" customHeight="1">
      <c r="B999" s="22"/>
    </row>
    <row r="1000" spans="2:2" ht="15.75" customHeight="1">
      <c r="B1000" s="22"/>
    </row>
  </sheetData>
  <autoFilter ref="A1:Y52" xr:uid="{00000000-0001-0000-0500-000000000000}"/>
  <dataValidations count="5">
    <dataValidation type="list" allowBlank="1" showErrorMessage="1" sqref="F13:G13 F10:G11" xr:uid="{00000000-0002-0000-0500-000000000000}">
      <formula1>$F$1:$F$31</formula1>
    </dataValidation>
    <dataValidation type="list" allowBlank="1" showErrorMessage="1" sqref="H10:J13" xr:uid="{00000000-0002-0000-0500-000001000000}">
      <formula1>$H$1:$H$93</formula1>
    </dataValidation>
    <dataValidation type="list" allowBlank="1" showErrorMessage="1" sqref="N8:O15" xr:uid="{00000000-0002-0000-0500-000002000000}">
      <formula1>$K$1:$K$14</formula1>
    </dataValidation>
    <dataValidation type="list" allowBlank="1" showErrorMessage="1" sqref="P8:R15" xr:uid="{00000000-0002-0000-0500-000003000000}">
      <formula1>$J$1:$J$93</formula1>
    </dataValidation>
    <dataValidation type="list" allowBlank="1" showErrorMessage="1" sqref="K8:M15" xr:uid="{00000000-0002-0000-0500-000004000000}">
      <formula1>$I$1:$I$93</formula1>
    </dataValidation>
  </dataValidations>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2" r:id="rId20" xr:uid="{00000000-0004-0000-0500-000013000000}"/>
    <hyperlink ref="B23" r:id="rId21" xr:uid="{00000000-0004-0000-0500-000014000000}"/>
    <hyperlink ref="B24" r:id="rId22" xr:uid="{00000000-0004-0000-0500-000015000000}"/>
    <hyperlink ref="B25" r:id="rId23" xr:uid="{00000000-0004-0000-0500-000016000000}"/>
    <hyperlink ref="B26" r:id="rId24" xr:uid="{00000000-0004-0000-0500-000017000000}"/>
    <hyperlink ref="B28" r:id="rId25" location=".V2I5xrt97IU" xr:uid="{00000000-0004-0000-0500-000018000000}"/>
    <hyperlink ref="B29" r:id="rId26" location=".VgTX6Muqqko" xr:uid="{00000000-0004-0000-0500-000019000000}"/>
    <hyperlink ref="B30" r:id="rId27" location=".VjcJc7crLIU" xr:uid="{00000000-0004-0000-0500-00001A000000}"/>
    <hyperlink ref="B31" r:id="rId28" xr:uid="{00000000-0004-0000-0500-00001B000000}"/>
    <hyperlink ref="B32" r:id="rId29" xr:uid="{00000000-0004-0000-0500-00001C000000}"/>
    <hyperlink ref="B33" r:id="rId30" location=".VtUjFfl97IU" xr:uid="{00000000-0004-0000-0500-00001D000000}"/>
    <hyperlink ref="B34" r:id="rId31" location=".VtUjYPl97IU" xr:uid="{00000000-0004-0000-0500-00001E000000}"/>
    <hyperlink ref="B35" r:id="rId32" location=".Vt7HSUJ97IU" xr:uid="{00000000-0004-0000-0500-00001F000000}"/>
    <hyperlink ref="B36" r:id="rId33" location=".WHxd-VN97IU" xr:uid="{00000000-0004-0000-0500-000020000000}"/>
    <hyperlink ref="B37" r:id="rId34" location="sthash.0SMoLqkA.dpuf" xr:uid="{00000000-0004-0000-0500-000021000000}"/>
    <hyperlink ref="E37" r:id="rId35" xr:uid="{00000000-0004-0000-0500-000022000000}"/>
    <hyperlink ref="B38" r:id="rId36" location="sthash.TMG3FcgT.dpuf" xr:uid="{00000000-0004-0000-0500-000023000000}"/>
    <hyperlink ref="E38" r:id="rId37" xr:uid="{00000000-0004-0000-0500-000024000000}"/>
    <hyperlink ref="B39" r:id="rId38" location="sthash.N6sfN5ff.dpuf" xr:uid="{00000000-0004-0000-0500-000025000000}"/>
    <hyperlink ref="B40" r:id="rId39" xr:uid="{00000000-0004-0000-0500-000026000000}"/>
    <hyperlink ref="B41" r:id="rId40" xr:uid="{00000000-0004-0000-0500-000027000000}"/>
    <hyperlink ref="B42" r:id="rId41" xr:uid="{00000000-0004-0000-0500-000028000000}"/>
    <hyperlink ref="B43" r:id="rId42" xr:uid="{00000000-0004-0000-0500-000029000000}"/>
    <hyperlink ref="B47" r:id="rId43" xr:uid="{00000000-0004-0000-0500-00002A000000}"/>
    <hyperlink ref="B48" r:id="rId44" xr:uid="{00000000-0004-0000-0500-00002B000000}"/>
    <hyperlink ref="E49" r:id="rId45" xr:uid="{00000000-0004-0000-0500-00002C000000}"/>
    <hyperlink ref="B49" r:id="rId46" xr:uid="{00000000-0004-0000-0500-00002D000000}"/>
    <hyperlink ref="B50" r:id="rId47" xr:uid="{00000000-0004-0000-0500-00002E000000}"/>
    <hyperlink ref="B51" r:id="rId48" xr:uid="{00000000-0004-0000-0500-00002F000000}"/>
    <hyperlink ref="B52" r:id="rId49" xr:uid="{00000000-0004-0000-0500-000030000000}"/>
    <hyperlink ref="D52" r:id="rId50" xr:uid="{00000000-0004-0000-0500-000031000000}"/>
    <hyperlink ref="E52" r:id="rId51" xr:uid="{00000000-0004-0000-05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topLeftCell="B1" workbookViewId="0">
      <pane ySplit="1" topLeftCell="A27" activePane="bottomLeft" state="frozen"/>
      <selection pane="bottomLeft" activeCell="B1" sqref="A1:XFD1"/>
    </sheetView>
  </sheetViews>
  <sheetFormatPr defaultColWidth="14.44140625" defaultRowHeight="15" customHeight="1"/>
  <cols>
    <col min="1" max="1" width="6.44140625" style="20" customWidth="1"/>
    <col min="2" max="2" width="61" style="20" customWidth="1"/>
    <col min="3" max="3" width="15.88671875" style="20" customWidth="1"/>
    <col min="4" max="4" width="87.6640625" style="20" customWidth="1"/>
    <col min="5" max="5" width="38.109375" style="20" customWidth="1"/>
    <col min="6" max="25" width="9.109375" style="20" customWidth="1"/>
    <col min="26" max="16384" width="14.44140625" style="20"/>
  </cols>
  <sheetData>
    <row r="1" spans="1:25" s="502" customFormat="1" ht="33.75" customHeight="1">
      <c r="A1" s="503" t="s">
        <v>1476</v>
      </c>
      <c r="B1" s="491" t="s">
        <v>3527</v>
      </c>
      <c r="C1" s="491" t="s">
        <v>2</v>
      </c>
      <c r="D1" s="491" t="s">
        <v>3642</v>
      </c>
      <c r="E1" s="491" t="s">
        <v>4</v>
      </c>
      <c r="F1" s="504"/>
      <c r="G1" s="504"/>
      <c r="H1" s="504"/>
      <c r="I1" s="504"/>
      <c r="J1" s="504"/>
      <c r="K1" s="504"/>
      <c r="L1" s="504"/>
      <c r="M1" s="504"/>
      <c r="N1" s="504"/>
      <c r="O1" s="504"/>
      <c r="P1" s="504"/>
      <c r="Q1" s="504"/>
      <c r="R1" s="504"/>
      <c r="S1" s="504"/>
      <c r="T1" s="504"/>
      <c r="U1" s="504"/>
      <c r="V1" s="504"/>
      <c r="W1" s="504"/>
      <c r="X1" s="504"/>
      <c r="Y1" s="504"/>
    </row>
    <row r="2" spans="1:25" ht="86.4">
      <c r="A2" s="15">
        <v>1</v>
      </c>
      <c r="B2" s="2" t="s">
        <v>3643</v>
      </c>
      <c r="C2" s="419">
        <v>40969</v>
      </c>
      <c r="D2" s="113" t="s">
        <v>3644</v>
      </c>
      <c r="E2" s="113" t="s">
        <v>3645</v>
      </c>
      <c r="F2" s="161"/>
      <c r="G2" s="161"/>
      <c r="H2" s="161"/>
      <c r="I2" s="161"/>
      <c r="J2" s="161"/>
      <c r="K2" s="161"/>
      <c r="L2" s="161"/>
      <c r="M2" s="161"/>
      <c r="N2" s="161"/>
      <c r="O2" s="161"/>
      <c r="P2" s="161"/>
      <c r="Q2" s="161"/>
      <c r="R2" s="161"/>
      <c r="S2" s="161"/>
      <c r="T2" s="161"/>
      <c r="U2" s="161"/>
      <c r="V2" s="161"/>
      <c r="W2" s="161"/>
      <c r="X2" s="161"/>
      <c r="Y2" s="161"/>
    </row>
    <row r="3" spans="1:25" ht="129.6">
      <c r="A3" s="15">
        <v>2</v>
      </c>
      <c r="B3" s="2" t="s">
        <v>3646</v>
      </c>
      <c r="C3" s="419">
        <v>40969</v>
      </c>
      <c r="D3" s="113" t="s">
        <v>3647</v>
      </c>
      <c r="E3" s="113" t="s">
        <v>3648</v>
      </c>
      <c r="F3" s="161"/>
      <c r="G3" s="161"/>
      <c r="H3" s="161"/>
      <c r="I3" s="161"/>
      <c r="J3" s="161"/>
      <c r="K3" s="161"/>
      <c r="L3" s="161"/>
      <c r="M3" s="161"/>
      <c r="N3" s="161"/>
      <c r="O3" s="161"/>
      <c r="P3" s="161"/>
      <c r="Q3" s="161"/>
      <c r="R3" s="161"/>
      <c r="S3" s="161"/>
      <c r="T3" s="161"/>
      <c r="U3" s="161"/>
      <c r="V3" s="161"/>
      <c r="W3" s="161"/>
      <c r="X3" s="161"/>
      <c r="Y3" s="161"/>
    </row>
    <row r="4" spans="1:25" ht="144">
      <c r="A4" s="15">
        <v>3</v>
      </c>
      <c r="B4" s="2" t="s">
        <v>3649</v>
      </c>
      <c r="C4" s="419">
        <v>40969</v>
      </c>
      <c r="D4" s="113" t="s">
        <v>3650</v>
      </c>
      <c r="E4" s="113" t="s">
        <v>3651</v>
      </c>
      <c r="F4" s="161"/>
      <c r="G4" s="161"/>
      <c r="H4" s="161"/>
      <c r="I4" s="161"/>
      <c r="J4" s="161"/>
      <c r="K4" s="161"/>
      <c r="L4" s="161"/>
      <c r="M4" s="161"/>
      <c r="N4" s="161"/>
      <c r="O4" s="161"/>
      <c r="P4" s="161"/>
      <c r="Q4" s="161"/>
      <c r="R4" s="161"/>
      <c r="S4" s="161"/>
      <c r="T4" s="161"/>
      <c r="U4" s="161"/>
      <c r="V4" s="161"/>
      <c r="W4" s="161"/>
      <c r="X4" s="161"/>
      <c r="Y4" s="161"/>
    </row>
    <row r="5" spans="1:25" ht="244.8">
      <c r="A5" s="15">
        <v>4</v>
      </c>
      <c r="B5" s="2" t="s">
        <v>3652</v>
      </c>
      <c r="C5" s="419">
        <v>41030</v>
      </c>
      <c r="D5" s="113" t="s">
        <v>3653</v>
      </c>
      <c r="E5" s="113" t="s">
        <v>3654</v>
      </c>
      <c r="F5" s="161"/>
      <c r="G5" s="161"/>
      <c r="H5" s="161"/>
      <c r="I5" s="161"/>
      <c r="J5" s="161"/>
      <c r="K5" s="161"/>
      <c r="L5" s="161"/>
      <c r="M5" s="161"/>
      <c r="N5" s="161"/>
      <c r="O5" s="161"/>
      <c r="P5" s="161"/>
      <c r="Q5" s="161"/>
      <c r="R5" s="161"/>
      <c r="S5" s="161"/>
      <c r="T5" s="161"/>
      <c r="U5" s="161"/>
      <c r="V5" s="161"/>
      <c r="W5" s="161"/>
      <c r="X5" s="161"/>
      <c r="Y5" s="161"/>
    </row>
    <row r="6" spans="1:25" ht="244.8">
      <c r="A6" s="15">
        <v>5</v>
      </c>
      <c r="B6" s="2" t="s">
        <v>3655</v>
      </c>
      <c r="C6" s="419">
        <v>41030</v>
      </c>
      <c r="D6" s="113" t="s">
        <v>3656</v>
      </c>
      <c r="E6" s="113" t="s">
        <v>3657</v>
      </c>
      <c r="F6" s="161"/>
      <c r="G6" s="161"/>
      <c r="H6" s="161"/>
      <c r="I6" s="161"/>
      <c r="J6" s="161"/>
      <c r="K6" s="161"/>
      <c r="L6" s="161"/>
      <c r="M6" s="161"/>
      <c r="N6" s="161"/>
      <c r="O6" s="161"/>
      <c r="P6" s="161"/>
      <c r="Q6" s="161"/>
      <c r="R6" s="161"/>
      <c r="S6" s="161"/>
      <c r="T6" s="161"/>
      <c r="U6" s="161"/>
      <c r="V6" s="161"/>
      <c r="W6" s="161"/>
      <c r="X6" s="161"/>
      <c r="Y6" s="161"/>
    </row>
    <row r="7" spans="1:25" ht="374.4">
      <c r="A7" s="15">
        <v>6</v>
      </c>
      <c r="B7" s="2" t="s">
        <v>3658</v>
      </c>
      <c r="C7" s="419">
        <v>41061</v>
      </c>
      <c r="D7" s="113" t="s">
        <v>3659</v>
      </c>
      <c r="E7" s="113" t="s">
        <v>3033</v>
      </c>
      <c r="F7" s="161"/>
      <c r="G7" s="161"/>
      <c r="H7" s="161"/>
      <c r="I7" s="161"/>
      <c r="J7" s="161"/>
      <c r="K7" s="161"/>
      <c r="L7" s="161"/>
      <c r="M7" s="161"/>
      <c r="N7" s="161"/>
      <c r="O7" s="161"/>
      <c r="P7" s="161"/>
      <c r="Q7" s="161"/>
      <c r="R7" s="161"/>
      <c r="S7" s="161"/>
      <c r="T7" s="161"/>
      <c r="U7" s="161"/>
      <c r="V7" s="161"/>
      <c r="W7" s="161"/>
      <c r="X7" s="161"/>
      <c r="Y7" s="161"/>
    </row>
    <row r="8" spans="1:25" ht="302.39999999999998">
      <c r="A8" s="15">
        <v>7</v>
      </c>
      <c r="B8" s="2" t="s">
        <v>3660</v>
      </c>
      <c r="C8" s="419">
        <v>41153</v>
      </c>
      <c r="D8" s="113" t="s">
        <v>3661</v>
      </c>
      <c r="E8" s="113" t="s">
        <v>3662</v>
      </c>
      <c r="F8" s="161"/>
      <c r="G8" s="161"/>
      <c r="H8" s="161"/>
      <c r="I8" s="161"/>
      <c r="J8" s="161"/>
      <c r="K8" s="161"/>
      <c r="L8" s="161"/>
      <c r="M8" s="161"/>
      <c r="N8" s="161"/>
      <c r="O8" s="161"/>
      <c r="P8" s="161"/>
      <c r="Q8" s="161"/>
      <c r="R8" s="161"/>
      <c r="S8" s="161"/>
      <c r="T8" s="161"/>
      <c r="U8" s="161"/>
      <c r="V8" s="161"/>
      <c r="W8" s="161"/>
      <c r="X8" s="161"/>
      <c r="Y8" s="161"/>
    </row>
    <row r="9" spans="1:25" ht="187.2">
      <c r="A9" s="15">
        <v>8</v>
      </c>
      <c r="B9" s="2" t="s">
        <v>3663</v>
      </c>
      <c r="C9" s="420">
        <v>41275</v>
      </c>
      <c r="D9" s="113" t="s">
        <v>3664</v>
      </c>
      <c r="E9" s="113" t="s">
        <v>3665</v>
      </c>
      <c r="F9" s="161"/>
      <c r="G9" s="161"/>
      <c r="H9" s="161"/>
      <c r="I9" s="161"/>
      <c r="J9" s="161"/>
      <c r="K9" s="161"/>
      <c r="L9" s="161"/>
      <c r="M9" s="161"/>
      <c r="N9" s="161"/>
      <c r="O9" s="161"/>
      <c r="P9" s="161"/>
      <c r="Q9" s="4"/>
      <c r="R9" s="161"/>
      <c r="S9" s="161"/>
      <c r="T9" s="161"/>
      <c r="U9" s="161"/>
      <c r="V9" s="161"/>
      <c r="W9" s="161"/>
      <c r="X9" s="161"/>
      <c r="Y9" s="161"/>
    </row>
    <row r="10" spans="1:25" ht="172.8">
      <c r="A10" s="15">
        <v>9</v>
      </c>
      <c r="B10" s="2" t="s">
        <v>3666</v>
      </c>
      <c r="C10" s="420">
        <v>41513</v>
      </c>
      <c r="D10" s="113" t="s">
        <v>3667</v>
      </c>
      <c r="E10" s="113" t="s">
        <v>3668</v>
      </c>
      <c r="F10" s="161"/>
      <c r="G10" s="4"/>
      <c r="H10" s="161"/>
      <c r="I10" s="161"/>
      <c r="J10" s="4"/>
      <c r="K10" s="4"/>
      <c r="L10" s="161"/>
      <c r="M10" s="161"/>
      <c r="N10" s="4"/>
      <c r="O10" s="4"/>
      <c r="P10" s="4"/>
      <c r="Q10" s="4"/>
      <c r="R10" s="4"/>
      <c r="S10" s="4"/>
      <c r="T10" s="4"/>
      <c r="U10" s="161"/>
      <c r="V10" s="161"/>
      <c r="W10" s="161"/>
      <c r="X10" s="161"/>
      <c r="Y10" s="161"/>
    </row>
    <row r="11" spans="1:25" ht="129.6">
      <c r="A11" s="15">
        <v>10</v>
      </c>
      <c r="B11" s="8" t="s">
        <v>3669</v>
      </c>
      <c r="C11" s="412">
        <v>41551</v>
      </c>
      <c r="D11" s="113" t="s">
        <v>3670</v>
      </c>
      <c r="E11" s="113" t="s">
        <v>3671</v>
      </c>
      <c r="F11" s="161"/>
      <c r="G11" s="161"/>
      <c r="H11" s="161"/>
      <c r="I11" s="161"/>
      <c r="J11" s="161"/>
      <c r="K11" s="161"/>
      <c r="L11" s="161"/>
      <c r="M11" s="161"/>
      <c r="N11" s="161"/>
      <c r="O11" s="161"/>
      <c r="P11" s="161"/>
      <c r="Q11" s="161"/>
      <c r="R11" s="161"/>
      <c r="S11" s="161"/>
      <c r="T11" s="161"/>
      <c r="U11" s="161"/>
      <c r="V11" s="161"/>
      <c r="W11" s="161"/>
      <c r="X11" s="161"/>
      <c r="Y11" s="4"/>
    </row>
    <row r="12" spans="1:25" ht="259.2">
      <c r="A12" s="15">
        <v>11</v>
      </c>
      <c r="B12" s="2" t="s">
        <v>3672</v>
      </c>
      <c r="C12" s="420">
        <v>41659</v>
      </c>
      <c r="D12" s="113" t="s">
        <v>3673</v>
      </c>
      <c r="E12" s="113" t="s">
        <v>1593</v>
      </c>
      <c r="F12" s="4"/>
      <c r="G12" s="4"/>
      <c r="H12" s="4"/>
      <c r="I12" s="4"/>
      <c r="J12" s="4"/>
      <c r="K12" s="4"/>
      <c r="L12" s="4"/>
      <c r="M12" s="4"/>
      <c r="N12" s="4"/>
      <c r="O12" s="4"/>
      <c r="P12" s="4"/>
      <c r="Q12" s="4"/>
      <c r="R12" s="4"/>
      <c r="S12" s="4"/>
      <c r="T12" s="4"/>
      <c r="U12" s="4"/>
      <c r="V12" s="4"/>
      <c r="W12" s="4"/>
      <c r="X12" s="4"/>
      <c r="Y12" s="4"/>
    </row>
    <row r="13" spans="1:25" ht="288">
      <c r="A13" s="15">
        <v>12</v>
      </c>
      <c r="B13" s="2" t="s">
        <v>3674</v>
      </c>
      <c r="C13" s="420">
        <v>42130</v>
      </c>
      <c r="D13" s="113" t="s">
        <v>3675</v>
      </c>
      <c r="E13" s="113" t="s">
        <v>3676</v>
      </c>
      <c r="F13" s="4"/>
      <c r="G13" s="4"/>
      <c r="H13" s="4"/>
      <c r="I13" s="4"/>
      <c r="J13" s="4"/>
      <c r="K13" s="4"/>
      <c r="L13" s="4"/>
      <c r="M13" s="4"/>
      <c r="N13" s="4"/>
      <c r="O13" s="4"/>
      <c r="P13" s="4"/>
      <c r="Q13" s="4"/>
      <c r="R13" s="4"/>
      <c r="S13" s="4"/>
      <c r="T13" s="4"/>
      <c r="U13" s="4"/>
      <c r="V13" s="4"/>
      <c r="W13" s="4"/>
      <c r="X13" s="4"/>
      <c r="Y13" s="4"/>
    </row>
    <row r="14" spans="1:25" ht="201.6">
      <c r="A14" s="15">
        <v>13</v>
      </c>
      <c r="B14" s="2" t="s">
        <v>3677</v>
      </c>
      <c r="C14" s="420">
        <v>42237</v>
      </c>
      <c r="D14" s="113" t="s">
        <v>3678</v>
      </c>
      <c r="E14" s="113" t="s">
        <v>1547</v>
      </c>
      <c r="F14" s="4"/>
      <c r="G14" s="4"/>
      <c r="H14" s="4"/>
      <c r="I14" s="4"/>
      <c r="J14" s="4"/>
      <c r="K14" s="4"/>
      <c r="L14" s="4"/>
      <c r="M14" s="4"/>
      <c r="N14" s="4"/>
      <c r="O14" s="4"/>
      <c r="P14" s="4"/>
      <c r="Q14" s="4"/>
      <c r="R14" s="4"/>
      <c r="S14" s="4"/>
      <c r="T14" s="4"/>
      <c r="U14" s="4"/>
      <c r="V14" s="4"/>
      <c r="W14" s="4"/>
      <c r="X14" s="4"/>
      <c r="Y14" s="4"/>
    </row>
    <row r="15" spans="1:25" ht="115.2">
      <c r="A15" s="15">
        <v>14</v>
      </c>
      <c r="B15" s="2" t="s">
        <v>3679</v>
      </c>
      <c r="C15" s="420">
        <v>42521</v>
      </c>
      <c r="D15" s="113" t="s">
        <v>3680</v>
      </c>
      <c r="E15" s="113" t="s">
        <v>3681</v>
      </c>
      <c r="F15" s="4"/>
      <c r="G15" s="4"/>
      <c r="H15" s="4"/>
      <c r="I15" s="4"/>
      <c r="J15" s="4"/>
      <c r="K15" s="4"/>
      <c r="L15" s="4"/>
      <c r="M15" s="4"/>
      <c r="N15" s="4"/>
      <c r="O15" s="4"/>
      <c r="P15" s="4"/>
      <c r="Q15" s="4"/>
      <c r="R15" s="4"/>
      <c r="S15" s="4"/>
      <c r="T15" s="4"/>
      <c r="U15" s="4"/>
      <c r="V15" s="4"/>
      <c r="W15" s="4"/>
      <c r="X15" s="4"/>
      <c r="Y15" s="4"/>
    </row>
    <row r="16" spans="1:25" ht="379.2" customHeight="1">
      <c r="A16" s="15">
        <v>15</v>
      </c>
      <c r="B16" s="2" t="s">
        <v>3682</v>
      </c>
      <c r="C16" s="420">
        <v>42606</v>
      </c>
      <c r="D16" s="113" t="s">
        <v>3683</v>
      </c>
      <c r="E16" s="113" t="s">
        <v>3684</v>
      </c>
      <c r="F16" s="4"/>
      <c r="G16" s="4"/>
      <c r="H16" s="4"/>
      <c r="I16" s="4"/>
      <c r="J16" s="4"/>
      <c r="K16" s="4"/>
      <c r="L16" s="4"/>
      <c r="M16" s="4"/>
      <c r="N16" s="4"/>
      <c r="O16" s="4"/>
      <c r="P16" s="4"/>
      <c r="Q16" s="4"/>
      <c r="R16" s="4"/>
      <c r="S16" s="4"/>
      <c r="T16" s="4"/>
      <c r="U16" s="4"/>
      <c r="V16" s="4"/>
      <c r="W16" s="4"/>
      <c r="X16" s="4"/>
      <c r="Y16" s="4"/>
    </row>
    <row r="17" spans="1:25" ht="331.2">
      <c r="A17" s="15">
        <v>16</v>
      </c>
      <c r="B17" s="2" t="s">
        <v>3685</v>
      </c>
      <c r="C17" s="420">
        <v>42622</v>
      </c>
      <c r="D17" s="113" t="s">
        <v>3686</v>
      </c>
      <c r="E17" s="113" t="s">
        <v>3687</v>
      </c>
      <c r="F17" s="4"/>
      <c r="G17" s="4"/>
      <c r="H17" s="4"/>
      <c r="I17" s="4"/>
      <c r="J17" s="4"/>
      <c r="K17" s="4"/>
      <c r="L17" s="4"/>
      <c r="M17" s="4"/>
      <c r="N17" s="4"/>
      <c r="O17" s="4"/>
      <c r="P17" s="4"/>
      <c r="Q17" s="4"/>
      <c r="R17" s="4"/>
      <c r="S17" s="4"/>
      <c r="T17" s="4"/>
      <c r="U17" s="4"/>
      <c r="V17" s="4"/>
      <c r="W17" s="4"/>
      <c r="X17" s="4"/>
      <c r="Y17" s="4"/>
    </row>
    <row r="18" spans="1:25" ht="244.8">
      <c r="A18" s="15">
        <v>17</v>
      </c>
      <c r="B18" s="2" t="s">
        <v>3688</v>
      </c>
      <c r="C18" s="420">
        <v>42632</v>
      </c>
      <c r="D18" s="113" t="s">
        <v>3689</v>
      </c>
      <c r="E18" s="113" t="s">
        <v>3690</v>
      </c>
      <c r="F18" s="4"/>
      <c r="G18" s="4"/>
      <c r="H18" s="4"/>
      <c r="I18" s="4"/>
      <c r="J18" s="4"/>
      <c r="K18" s="4"/>
      <c r="L18" s="4"/>
      <c r="M18" s="4"/>
      <c r="N18" s="4"/>
      <c r="O18" s="4"/>
      <c r="P18" s="4"/>
      <c r="Q18" s="4"/>
      <c r="R18" s="4"/>
      <c r="S18" s="4"/>
      <c r="T18" s="4"/>
      <c r="U18" s="4"/>
      <c r="V18" s="4"/>
      <c r="W18" s="4"/>
      <c r="X18" s="4"/>
      <c r="Y18" s="4"/>
    </row>
    <row r="19" spans="1:25" ht="331.2">
      <c r="A19" s="15">
        <v>18</v>
      </c>
      <c r="B19" s="2" t="s">
        <v>3691</v>
      </c>
      <c r="C19" s="420">
        <v>42636</v>
      </c>
      <c r="D19" s="113" t="s">
        <v>3692</v>
      </c>
      <c r="E19" s="113" t="s">
        <v>3693</v>
      </c>
      <c r="F19" s="4"/>
      <c r="G19" s="4"/>
      <c r="H19" s="4"/>
      <c r="I19" s="4"/>
      <c r="J19" s="4"/>
      <c r="K19" s="4"/>
      <c r="L19" s="4"/>
      <c r="M19" s="4"/>
      <c r="N19" s="4"/>
      <c r="O19" s="4"/>
      <c r="P19" s="4"/>
      <c r="Q19" s="4"/>
      <c r="R19" s="4"/>
      <c r="S19" s="4"/>
      <c r="T19" s="4"/>
      <c r="U19" s="4"/>
      <c r="V19" s="4"/>
      <c r="W19" s="4"/>
      <c r="X19" s="4"/>
      <c r="Y19" s="4"/>
    </row>
    <row r="20" spans="1:25" ht="158.4">
      <c r="A20" s="15">
        <v>19</v>
      </c>
      <c r="B20" s="8" t="s">
        <v>3694</v>
      </c>
      <c r="C20" s="420">
        <v>42632</v>
      </c>
      <c r="D20" s="113" t="s">
        <v>3695</v>
      </c>
      <c r="E20" s="113" t="s">
        <v>3696</v>
      </c>
      <c r="F20" s="4"/>
      <c r="G20" s="4"/>
      <c r="H20" s="4"/>
      <c r="I20" s="4"/>
      <c r="J20" s="4"/>
      <c r="K20" s="4"/>
      <c r="L20" s="4"/>
      <c r="M20" s="4"/>
      <c r="N20" s="4"/>
      <c r="O20" s="4"/>
      <c r="P20" s="4"/>
      <c r="Q20" s="4"/>
      <c r="R20" s="4"/>
      <c r="S20" s="4"/>
      <c r="T20" s="4"/>
      <c r="U20" s="4"/>
      <c r="V20" s="4"/>
      <c r="W20" s="4"/>
      <c r="X20" s="4"/>
      <c r="Y20" s="4"/>
    </row>
    <row r="21" spans="1:25" ht="144">
      <c r="A21" s="15">
        <v>20</v>
      </c>
      <c r="B21" s="2" t="s">
        <v>3697</v>
      </c>
      <c r="C21" s="420">
        <v>42880</v>
      </c>
      <c r="D21" s="113" t="s">
        <v>3698</v>
      </c>
      <c r="E21" s="113" t="s">
        <v>3699</v>
      </c>
      <c r="F21" s="4"/>
      <c r="G21" s="4"/>
      <c r="H21" s="4"/>
      <c r="I21" s="4"/>
      <c r="J21" s="4"/>
      <c r="K21" s="4"/>
      <c r="L21" s="4"/>
      <c r="M21" s="4"/>
      <c r="N21" s="4"/>
      <c r="O21" s="4"/>
      <c r="P21" s="4"/>
      <c r="Q21" s="4"/>
      <c r="R21" s="4"/>
      <c r="S21" s="4"/>
      <c r="T21" s="4"/>
      <c r="U21" s="4"/>
      <c r="V21" s="4"/>
      <c r="W21" s="4"/>
      <c r="X21" s="4"/>
      <c r="Y21" s="4"/>
    </row>
    <row r="22" spans="1:25" ht="288">
      <c r="A22" s="15">
        <v>21</v>
      </c>
      <c r="B22" s="2" t="s">
        <v>3700</v>
      </c>
      <c r="C22" s="420">
        <v>43333</v>
      </c>
      <c r="D22" s="113" t="s">
        <v>3701</v>
      </c>
      <c r="E22" s="113" t="s">
        <v>3702</v>
      </c>
      <c r="F22" s="4"/>
      <c r="G22" s="4"/>
      <c r="H22" s="4"/>
      <c r="I22" s="4"/>
      <c r="J22" s="4"/>
      <c r="K22" s="4"/>
      <c r="L22" s="4"/>
      <c r="M22" s="4"/>
      <c r="N22" s="4"/>
      <c r="O22" s="4"/>
      <c r="P22" s="4"/>
      <c r="Q22" s="4"/>
      <c r="R22" s="4"/>
      <c r="S22" s="4"/>
      <c r="T22" s="4"/>
      <c r="U22" s="4"/>
      <c r="V22" s="4"/>
      <c r="W22" s="4"/>
      <c r="X22" s="4"/>
      <c r="Y22" s="4"/>
    </row>
    <row r="23" spans="1:25" ht="72">
      <c r="A23" s="15">
        <v>22</v>
      </c>
      <c r="B23" s="2" t="s">
        <v>3703</v>
      </c>
      <c r="C23" s="420">
        <v>43446</v>
      </c>
      <c r="D23" s="113" t="s">
        <v>3704</v>
      </c>
      <c r="E23" s="113" t="s">
        <v>3705</v>
      </c>
      <c r="F23" s="4"/>
      <c r="G23" s="4"/>
      <c r="H23" s="4"/>
      <c r="I23" s="4"/>
      <c r="J23" s="4"/>
      <c r="K23" s="4"/>
      <c r="L23" s="4"/>
      <c r="M23" s="4"/>
      <c r="N23" s="4"/>
      <c r="O23" s="4"/>
      <c r="P23" s="4"/>
      <c r="Q23" s="4"/>
      <c r="R23" s="4"/>
      <c r="S23" s="4"/>
      <c r="T23" s="4"/>
      <c r="U23" s="4"/>
      <c r="V23" s="4"/>
      <c r="W23" s="4"/>
      <c r="X23" s="4"/>
      <c r="Y23" s="4"/>
    </row>
    <row r="24" spans="1:25" ht="72">
      <c r="A24" s="15">
        <v>23</v>
      </c>
      <c r="B24" s="27" t="str">
        <f>HYPERLINK("https://www.microsave.net/2019/05/27/digital-transformation-of-mfis-in-bangladesh/","Digital transformation of MFIs in Bangladesh")</f>
        <v>Digital transformation of MFIs in Bangladesh</v>
      </c>
      <c r="C24" s="421">
        <v>43612</v>
      </c>
      <c r="D24" s="353" t="s">
        <v>3706</v>
      </c>
      <c r="E24" s="422" t="s">
        <v>761</v>
      </c>
      <c r="F24" s="4"/>
      <c r="G24" s="4"/>
      <c r="H24" s="4"/>
      <c r="I24" s="4"/>
      <c r="J24" s="4"/>
      <c r="K24" s="4"/>
      <c r="L24" s="4"/>
      <c r="M24" s="4"/>
      <c r="N24" s="4"/>
      <c r="O24" s="4"/>
      <c r="P24" s="4"/>
      <c r="Q24" s="4"/>
      <c r="R24" s="4"/>
      <c r="S24" s="4"/>
      <c r="T24" s="4"/>
      <c r="U24" s="4"/>
      <c r="V24" s="4"/>
      <c r="W24" s="4"/>
      <c r="X24" s="4"/>
      <c r="Y24" s="4"/>
    </row>
    <row r="25" spans="1:25" s="19" customFormat="1" ht="43.2">
      <c r="A25" s="5">
        <v>24</v>
      </c>
      <c r="B25" s="117" t="s">
        <v>3707</v>
      </c>
      <c r="C25" s="423">
        <v>44208</v>
      </c>
      <c r="D25" s="330" t="s">
        <v>3708</v>
      </c>
      <c r="E25" s="330" t="s">
        <v>3709</v>
      </c>
      <c r="F25" s="4"/>
      <c r="G25" s="4"/>
      <c r="H25" s="4"/>
      <c r="I25" s="4"/>
      <c r="J25" s="4"/>
      <c r="K25" s="4"/>
      <c r="L25" s="4"/>
      <c r="M25" s="4"/>
      <c r="N25" s="4"/>
      <c r="O25" s="4"/>
      <c r="P25" s="4"/>
      <c r="Q25" s="4"/>
      <c r="R25" s="4"/>
      <c r="S25" s="4"/>
      <c r="T25" s="4"/>
      <c r="U25" s="4"/>
      <c r="V25" s="4"/>
      <c r="W25" s="4"/>
      <c r="X25" s="4"/>
      <c r="Y25" s="4"/>
    </row>
    <row r="26" spans="1:25" ht="57.6">
      <c r="A26" s="90">
        <v>25</v>
      </c>
      <c r="B26" s="117" t="s">
        <v>3710</v>
      </c>
      <c r="C26" s="424">
        <v>44755</v>
      </c>
      <c r="D26" s="330" t="s">
        <v>3711</v>
      </c>
      <c r="E26" s="90" t="s">
        <v>3712</v>
      </c>
      <c r="F26" s="4"/>
      <c r="G26" s="4"/>
      <c r="H26" s="4"/>
      <c r="I26" s="4"/>
      <c r="J26" s="4"/>
      <c r="K26" s="4"/>
      <c r="L26" s="4"/>
      <c r="M26" s="4"/>
      <c r="N26" s="4"/>
      <c r="O26" s="4"/>
      <c r="P26" s="4"/>
      <c r="Q26" s="4"/>
      <c r="R26" s="4"/>
      <c r="S26" s="4"/>
      <c r="T26" s="4"/>
      <c r="U26" s="4"/>
      <c r="V26" s="4"/>
      <c r="W26" s="4"/>
      <c r="X26" s="4"/>
      <c r="Y26" s="4"/>
    </row>
    <row r="27" spans="1:25" s="19" customFormat="1" ht="33.75" customHeight="1">
      <c r="A27" s="90">
        <v>26</v>
      </c>
      <c r="B27" s="117" t="s">
        <v>3713</v>
      </c>
      <c r="C27" s="424">
        <v>44613</v>
      </c>
      <c r="D27" s="330" t="s">
        <v>3714</v>
      </c>
      <c r="E27" s="330" t="s">
        <v>3715</v>
      </c>
      <c r="F27" s="4"/>
      <c r="G27" s="4"/>
      <c r="H27" s="4"/>
      <c r="I27" s="4"/>
      <c r="J27" s="4"/>
      <c r="K27" s="4"/>
      <c r="L27" s="4"/>
      <c r="M27" s="4"/>
      <c r="N27" s="4"/>
      <c r="O27" s="4"/>
      <c r="P27" s="4"/>
      <c r="Q27" s="4"/>
      <c r="R27" s="4"/>
      <c r="S27" s="4"/>
      <c r="T27" s="4"/>
      <c r="U27" s="4"/>
      <c r="V27" s="4"/>
      <c r="W27" s="4"/>
      <c r="X27" s="4"/>
      <c r="Y27" s="4"/>
    </row>
    <row r="28" spans="1:25" s="19" customFormat="1" ht="33.75" customHeight="1">
      <c r="A28" s="90">
        <v>27</v>
      </c>
      <c r="B28" s="91" t="s">
        <v>3716</v>
      </c>
      <c r="C28" s="425">
        <f>DATE(2023,5,23)</f>
        <v>45069</v>
      </c>
      <c r="D28" s="330" t="s">
        <v>3717</v>
      </c>
      <c r="E28" s="426" t="s">
        <v>3718</v>
      </c>
      <c r="F28" s="4"/>
      <c r="G28" s="4"/>
      <c r="H28" s="4"/>
      <c r="I28" s="4"/>
      <c r="J28" s="4"/>
      <c r="K28" s="4"/>
      <c r="L28" s="4"/>
      <c r="M28" s="4"/>
      <c r="N28" s="4"/>
      <c r="O28" s="4"/>
      <c r="P28" s="4"/>
      <c r="Q28" s="4"/>
      <c r="R28" s="4"/>
      <c r="S28" s="4"/>
      <c r="T28" s="4"/>
      <c r="U28" s="4"/>
      <c r="V28" s="4"/>
      <c r="W28" s="4"/>
      <c r="X28" s="4"/>
      <c r="Y28" s="4"/>
    </row>
    <row r="29" spans="1:25" ht="72">
      <c r="A29" s="90">
        <v>28</v>
      </c>
      <c r="B29" s="92" t="s">
        <v>3719</v>
      </c>
      <c r="C29" s="425">
        <f>DATE(2025,10,27)</f>
        <v>45957</v>
      </c>
      <c r="D29" s="330" t="s">
        <v>3720</v>
      </c>
      <c r="E29" s="330" t="s">
        <v>3721</v>
      </c>
      <c r="F29" s="4"/>
      <c r="G29" s="4"/>
      <c r="H29" s="4"/>
      <c r="I29" s="4"/>
      <c r="J29" s="4"/>
      <c r="K29" s="4"/>
      <c r="L29" s="4"/>
      <c r="M29" s="4"/>
      <c r="N29" s="4"/>
      <c r="O29" s="4"/>
      <c r="P29" s="4"/>
      <c r="Q29" s="4"/>
      <c r="R29" s="4"/>
      <c r="S29" s="4"/>
      <c r="T29" s="4"/>
      <c r="U29" s="4"/>
      <c r="V29" s="4"/>
      <c r="W29" s="4"/>
      <c r="X29" s="4"/>
      <c r="Y29" s="4"/>
    </row>
    <row r="30" spans="1:25" s="100" customFormat="1" ht="70.8" customHeight="1">
      <c r="A30" s="90">
        <v>29</v>
      </c>
      <c r="B30" s="89" t="s">
        <v>3722</v>
      </c>
      <c r="C30" s="427">
        <v>46093</v>
      </c>
      <c r="D30" s="330" t="s">
        <v>3723</v>
      </c>
      <c r="E30" s="428" t="s">
        <v>3724</v>
      </c>
    </row>
    <row r="31" spans="1:25" ht="33.75" customHeight="1">
      <c r="A31" s="4"/>
      <c r="B31" s="5"/>
      <c r="C31" s="4"/>
      <c r="D31" s="4"/>
      <c r="E31" s="4"/>
      <c r="F31" s="4"/>
      <c r="G31" s="4"/>
      <c r="H31" s="4"/>
      <c r="I31" s="4"/>
      <c r="J31" s="4"/>
      <c r="K31" s="4"/>
      <c r="L31" s="4"/>
      <c r="M31" s="4"/>
      <c r="N31" s="4"/>
      <c r="O31" s="4"/>
      <c r="P31" s="4"/>
      <c r="Q31" s="4"/>
      <c r="R31" s="4"/>
      <c r="S31" s="4"/>
      <c r="T31" s="4"/>
      <c r="U31" s="4"/>
      <c r="V31" s="4"/>
      <c r="W31" s="4"/>
      <c r="X31" s="4"/>
      <c r="Y31" s="4"/>
    </row>
    <row r="32" spans="1:25" ht="33.75" customHeight="1">
      <c r="A32" s="4"/>
      <c r="B32" s="5"/>
      <c r="C32" s="4"/>
      <c r="D32" s="4"/>
      <c r="E32" s="4"/>
      <c r="F32" s="4"/>
      <c r="G32" s="4"/>
      <c r="H32" s="4"/>
      <c r="I32" s="4"/>
      <c r="J32" s="4"/>
      <c r="K32" s="4"/>
      <c r="L32" s="4"/>
      <c r="M32" s="4"/>
      <c r="N32" s="4"/>
      <c r="O32" s="4"/>
      <c r="P32" s="4"/>
      <c r="Q32" s="4"/>
      <c r="R32" s="4"/>
      <c r="S32" s="4"/>
      <c r="T32" s="4"/>
      <c r="U32" s="4"/>
      <c r="V32" s="4"/>
      <c r="W32" s="4"/>
      <c r="X32" s="4"/>
      <c r="Y32" s="4"/>
    </row>
    <row r="33" spans="1:25" ht="33.75" customHeight="1">
      <c r="A33" s="4"/>
      <c r="B33" s="5"/>
      <c r="C33" s="4"/>
      <c r="D33" s="4"/>
      <c r="E33" s="4"/>
      <c r="F33" s="4"/>
      <c r="G33" s="4"/>
      <c r="H33" s="4"/>
      <c r="I33" s="4"/>
      <c r="J33" s="4"/>
      <c r="K33" s="4"/>
      <c r="L33" s="4"/>
      <c r="M33" s="4"/>
      <c r="N33" s="4"/>
      <c r="O33" s="4"/>
      <c r="P33" s="4"/>
      <c r="Q33" s="4"/>
      <c r="R33" s="4"/>
      <c r="S33" s="4"/>
      <c r="T33" s="4"/>
      <c r="U33" s="4"/>
      <c r="V33" s="4"/>
      <c r="W33" s="4"/>
      <c r="X33" s="4"/>
      <c r="Y33" s="4"/>
    </row>
    <row r="34" spans="1:25" ht="33.75" customHeight="1">
      <c r="A34" s="4"/>
      <c r="B34" s="5"/>
      <c r="C34" s="4"/>
      <c r="D34" s="4"/>
      <c r="E34" s="4"/>
      <c r="F34" s="4"/>
      <c r="G34" s="4"/>
      <c r="H34" s="4"/>
      <c r="I34" s="4"/>
      <c r="J34" s="4"/>
      <c r="K34" s="4"/>
      <c r="L34" s="4"/>
      <c r="M34" s="4"/>
      <c r="N34" s="4"/>
      <c r="O34" s="4"/>
      <c r="P34" s="4"/>
      <c r="Q34" s="4"/>
      <c r="R34" s="4"/>
      <c r="S34" s="4"/>
      <c r="T34" s="4"/>
      <c r="U34" s="4"/>
      <c r="V34" s="4"/>
      <c r="W34" s="4"/>
      <c r="X34" s="4"/>
      <c r="Y34" s="4"/>
    </row>
    <row r="35" spans="1:25" ht="33.75" customHeight="1">
      <c r="A35" s="4"/>
      <c r="B35" s="5"/>
      <c r="C35" s="4"/>
      <c r="D35" s="4"/>
      <c r="E35" s="4"/>
      <c r="F35" s="4"/>
      <c r="G35" s="4"/>
      <c r="H35" s="4"/>
      <c r="I35" s="4"/>
      <c r="J35" s="4"/>
      <c r="K35" s="4"/>
      <c r="L35" s="4"/>
      <c r="M35" s="4"/>
      <c r="N35" s="4"/>
      <c r="O35" s="4"/>
      <c r="P35" s="4"/>
      <c r="Q35" s="4"/>
      <c r="R35" s="4"/>
      <c r="S35" s="4"/>
      <c r="T35" s="4"/>
      <c r="U35" s="4"/>
      <c r="V35" s="4"/>
      <c r="W35" s="4"/>
      <c r="X35" s="4"/>
      <c r="Y35" s="4"/>
    </row>
    <row r="36" spans="1:25" ht="33.75" customHeight="1">
      <c r="A36" s="4"/>
      <c r="B36" s="5"/>
      <c r="C36" s="4"/>
      <c r="D36" s="4"/>
      <c r="E36" s="4"/>
      <c r="F36" s="4"/>
      <c r="G36" s="4"/>
      <c r="H36" s="4"/>
      <c r="I36" s="4"/>
      <c r="J36" s="4"/>
      <c r="K36" s="4"/>
      <c r="L36" s="4"/>
      <c r="M36" s="4"/>
      <c r="N36" s="4"/>
      <c r="O36" s="4"/>
      <c r="P36" s="4"/>
      <c r="Q36" s="4"/>
      <c r="R36" s="4"/>
      <c r="S36" s="4"/>
      <c r="T36" s="4"/>
      <c r="U36" s="4"/>
      <c r="V36" s="4"/>
      <c r="W36" s="4"/>
      <c r="X36" s="4"/>
      <c r="Y36" s="4"/>
    </row>
    <row r="37" spans="1:25" ht="33.75" customHeight="1">
      <c r="A37" s="4"/>
      <c r="B37" s="5"/>
      <c r="C37" s="4"/>
      <c r="D37" s="4"/>
      <c r="E37" s="4"/>
      <c r="F37" s="4"/>
      <c r="G37" s="4"/>
      <c r="H37" s="4"/>
      <c r="I37" s="4"/>
      <c r="J37" s="4"/>
      <c r="K37" s="4"/>
      <c r="L37" s="4"/>
      <c r="M37" s="4"/>
      <c r="N37" s="4"/>
      <c r="O37" s="4"/>
      <c r="P37" s="4"/>
      <c r="Q37" s="4"/>
      <c r="R37" s="4"/>
      <c r="S37" s="4"/>
      <c r="T37" s="4"/>
      <c r="U37" s="4"/>
      <c r="V37" s="4"/>
      <c r="W37" s="4"/>
      <c r="X37" s="4"/>
      <c r="Y37" s="4"/>
    </row>
    <row r="38" spans="1:25" ht="33.75" customHeight="1">
      <c r="A38" s="4"/>
      <c r="B38" s="5"/>
      <c r="C38" s="4"/>
      <c r="D38" s="4"/>
      <c r="E38" s="4"/>
      <c r="F38" s="4"/>
      <c r="G38" s="4"/>
      <c r="H38" s="4"/>
      <c r="I38" s="4"/>
      <c r="J38" s="4"/>
      <c r="K38" s="4"/>
      <c r="L38" s="4"/>
      <c r="M38" s="4"/>
      <c r="N38" s="4"/>
      <c r="O38" s="4"/>
      <c r="P38" s="4"/>
      <c r="Q38" s="4"/>
      <c r="R38" s="4"/>
      <c r="S38" s="4"/>
      <c r="T38" s="4"/>
      <c r="U38" s="4"/>
      <c r="V38" s="4"/>
      <c r="W38" s="4"/>
      <c r="X38" s="4"/>
      <c r="Y38" s="4"/>
    </row>
    <row r="39" spans="1:25" ht="33.75" customHeight="1">
      <c r="A39" s="4"/>
      <c r="B39" s="5"/>
      <c r="C39" s="4"/>
      <c r="D39" s="4"/>
      <c r="E39" s="4"/>
      <c r="F39" s="4"/>
      <c r="G39" s="4"/>
      <c r="H39" s="4"/>
      <c r="I39" s="4"/>
      <c r="J39" s="4"/>
      <c r="K39" s="4"/>
      <c r="L39" s="4"/>
      <c r="M39" s="4"/>
      <c r="N39" s="4"/>
      <c r="O39" s="4"/>
      <c r="P39" s="4"/>
      <c r="Q39" s="4"/>
      <c r="R39" s="4"/>
      <c r="S39" s="4"/>
      <c r="T39" s="4"/>
      <c r="U39" s="4"/>
      <c r="V39" s="4"/>
      <c r="W39" s="4"/>
      <c r="X39" s="4"/>
      <c r="Y39" s="4"/>
    </row>
    <row r="40" spans="1:25" ht="33.75" customHeight="1">
      <c r="A40" s="4"/>
      <c r="B40" s="5"/>
      <c r="C40" s="4"/>
      <c r="D40" s="4"/>
      <c r="E40" s="4"/>
      <c r="F40" s="4"/>
      <c r="G40" s="4"/>
      <c r="H40" s="4"/>
      <c r="I40" s="4"/>
      <c r="J40" s="4"/>
      <c r="K40" s="4"/>
      <c r="L40" s="4"/>
      <c r="M40" s="4"/>
      <c r="N40" s="4"/>
      <c r="O40" s="4"/>
      <c r="P40" s="4"/>
      <c r="Q40" s="4"/>
      <c r="R40" s="4"/>
      <c r="S40" s="4"/>
      <c r="T40" s="4"/>
      <c r="U40" s="4"/>
      <c r="V40" s="4"/>
      <c r="W40" s="4"/>
      <c r="X40" s="4"/>
      <c r="Y40" s="4"/>
    </row>
    <row r="41" spans="1:25" ht="33.75" customHeight="1">
      <c r="A41" s="4"/>
      <c r="B41" s="5"/>
      <c r="C41" s="4"/>
      <c r="D41" s="4"/>
      <c r="E41" s="4"/>
      <c r="F41" s="4"/>
      <c r="G41" s="4"/>
      <c r="H41" s="4"/>
      <c r="I41" s="4"/>
      <c r="J41" s="4"/>
      <c r="K41" s="4"/>
      <c r="L41" s="4"/>
      <c r="M41" s="4"/>
      <c r="N41" s="4"/>
      <c r="O41" s="4"/>
      <c r="P41" s="4"/>
      <c r="Q41" s="4"/>
      <c r="R41" s="4"/>
      <c r="S41" s="4"/>
      <c r="T41" s="4"/>
      <c r="U41" s="4"/>
      <c r="V41" s="4"/>
      <c r="W41" s="4"/>
      <c r="X41" s="4"/>
      <c r="Y41" s="4"/>
    </row>
    <row r="42" spans="1:25" ht="33.75" customHeight="1">
      <c r="A42" s="4"/>
      <c r="B42" s="5"/>
      <c r="C42" s="4"/>
      <c r="D42" s="4"/>
      <c r="E42" s="4"/>
      <c r="F42" s="4"/>
      <c r="G42" s="4"/>
      <c r="H42" s="4"/>
      <c r="I42" s="4"/>
      <c r="J42" s="4"/>
      <c r="K42" s="4"/>
      <c r="L42" s="4"/>
      <c r="M42" s="4"/>
      <c r="N42" s="4"/>
      <c r="O42" s="4"/>
      <c r="P42" s="4"/>
      <c r="Q42" s="4"/>
      <c r="R42" s="4"/>
      <c r="S42" s="4"/>
      <c r="T42" s="4"/>
      <c r="U42" s="4"/>
      <c r="V42" s="4"/>
      <c r="W42" s="4"/>
      <c r="X42" s="4"/>
      <c r="Y42" s="4"/>
    </row>
    <row r="43" spans="1:25" ht="33.75" customHeight="1">
      <c r="A43" s="4"/>
      <c r="B43" s="5"/>
      <c r="C43" s="4"/>
      <c r="D43" s="4"/>
      <c r="E43" s="4"/>
      <c r="F43" s="4"/>
      <c r="G43" s="4"/>
      <c r="H43" s="4"/>
      <c r="I43" s="4"/>
      <c r="J43" s="4"/>
      <c r="K43" s="4"/>
      <c r="L43" s="4"/>
      <c r="M43" s="4"/>
      <c r="N43" s="4"/>
      <c r="O43" s="4"/>
      <c r="P43" s="4"/>
      <c r="Q43" s="4"/>
      <c r="R43" s="4"/>
      <c r="S43" s="4"/>
      <c r="T43" s="4"/>
      <c r="U43" s="4"/>
      <c r="V43" s="4"/>
      <c r="W43" s="4"/>
      <c r="X43" s="4"/>
      <c r="Y43" s="4"/>
    </row>
    <row r="44" spans="1:25" ht="33.75" customHeight="1">
      <c r="A44" s="4"/>
      <c r="B44" s="5"/>
      <c r="C44" s="4"/>
      <c r="D44" s="4"/>
      <c r="E44" s="4"/>
      <c r="F44" s="4"/>
      <c r="G44" s="4"/>
      <c r="H44" s="4"/>
      <c r="I44" s="4"/>
      <c r="J44" s="4"/>
      <c r="K44" s="4"/>
      <c r="L44" s="4"/>
      <c r="M44" s="4"/>
      <c r="N44" s="4"/>
      <c r="O44" s="4"/>
      <c r="P44" s="4"/>
      <c r="Q44" s="4"/>
      <c r="R44" s="4"/>
      <c r="S44" s="4"/>
      <c r="T44" s="4"/>
      <c r="U44" s="4"/>
      <c r="V44" s="4"/>
      <c r="W44" s="4"/>
      <c r="X44" s="4"/>
      <c r="Y44" s="4"/>
    </row>
    <row r="45" spans="1:25" ht="33.75" customHeight="1">
      <c r="A45" s="4"/>
      <c r="B45" s="5"/>
      <c r="C45" s="4"/>
      <c r="D45" s="4"/>
      <c r="E45" s="4"/>
      <c r="F45" s="4"/>
      <c r="G45" s="4"/>
      <c r="H45" s="4"/>
      <c r="I45" s="4"/>
      <c r="J45" s="4"/>
      <c r="K45" s="4"/>
      <c r="L45" s="4"/>
      <c r="M45" s="4"/>
      <c r="N45" s="4"/>
      <c r="O45" s="4"/>
      <c r="P45" s="4"/>
      <c r="Q45" s="4"/>
      <c r="R45" s="4"/>
      <c r="S45" s="4"/>
      <c r="T45" s="4"/>
      <c r="U45" s="4"/>
      <c r="V45" s="4"/>
      <c r="W45" s="4"/>
      <c r="X45" s="4"/>
      <c r="Y45" s="4"/>
    </row>
    <row r="46" spans="1:25" ht="33.75" customHeight="1">
      <c r="A46" s="4"/>
      <c r="B46" s="5"/>
      <c r="C46" s="4"/>
      <c r="D46" s="4"/>
      <c r="E46" s="4"/>
      <c r="F46" s="4"/>
      <c r="G46" s="4"/>
      <c r="H46" s="4"/>
      <c r="I46" s="4"/>
      <c r="J46" s="4"/>
      <c r="K46" s="4"/>
      <c r="L46" s="4"/>
      <c r="M46" s="4"/>
      <c r="N46" s="4"/>
      <c r="O46" s="4"/>
      <c r="P46" s="4"/>
      <c r="Q46" s="4"/>
      <c r="R46" s="4"/>
      <c r="S46" s="4"/>
      <c r="T46" s="4"/>
      <c r="U46" s="4"/>
      <c r="V46" s="4"/>
      <c r="W46" s="4"/>
      <c r="X46" s="4"/>
      <c r="Y46" s="4"/>
    </row>
    <row r="47" spans="1:25" ht="33.75" customHeight="1">
      <c r="A47" s="4"/>
      <c r="B47" s="5"/>
      <c r="C47" s="4"/>
      <c r="D47" s="4"/>
      <c r="E47" s="4"/>
      <c r="F47" s="4"/>
      <c r="G47" s="4"/>
      <c r="H47" s="4"/>
      <c r="I47" s="4"/>
      <c r="J47" s="4"/>
      <c r="K47" s="4"/>
      <c r="L47" s="4"/>
      <c r="M47" s="4"/>
      <c r="N47" s="4"/>
      <c r="O47" s="4"/>
      <c r="P47" s="4"/>
      <c r="Q47" s="4"/>
      <c r="R47" s="4"/>
      <c r="S47" s="4"/>
      <c r="T47" s="4"/>
      <c r="U47" s="4"/>
      <c r="V47" s="4"/>
      <c r="W47" s="4"/>
      <c r="X47" s="4"/>
      <c r="Y47" s="4"/>
    </row>
    <row r="48" spans="1:25" ht="33.75" customHeight="1">
      <c r="A48" s="4"/>
      <c r="B48" s="5"/>
      <c r="C48" s="4"/>
      <c r="D48" s="4"/>
      <c r="E48" s="4"/>
      <c r="F48" s="4"/>
      <c r="G48" s="4"/>
      <c r="H48" s="4"/>
      <c r="I48" s="4"/>
      <c r="J48" s="4"/>
      <c r="K48" s="4"/>
      <c r="L48" s="4"/>
      <c r="M48" s="4"/>
      <c r="N48" s="4"/>
      <c r="O48" s="4"/>
      <c r="P48" s="4"/>
      <c r="Q48" s="4"/>
      <c r="R48" s="4"/>
      <c r="S48" s="4"/>
      <c r="T48" s="4"/>
      <c r="U48" s="4"/>
      <c r="V48" s="4"/>
      <c r="W48" s="4"/>
      <c r="X48" s="4"/>
      <c r="Y48" s="4"/>
    </row>
    <row r="49" spans="1:25" ht="33.75" customHeight="1">
      <c r="A49" s="4"/>
      <c r="B49" s="5"/>
      <c r="C49" s="4"/>
      <c r="D49" s="4"/>
      <c r="E49" s="4"/>
      <c r="F49" s="4"/>
      <c r="G49" s="4"/>
      <c r="H49" s="4"/>
      <c r="I49" s="4"/>
      <c r="J49" s="4"/>
      <c r="K49" s="4"/>
      <c r="L49" s="4"/>
      <c r="M49" s="4"/>
      <c r="N49" s="4"/>
      <c r="O49" s="4"/>
      <c r="P49" s="4"/>
      <c r="Q49" s="4"/>
      <c r="R49" s="4"/>
      <c r="S49" s="4"/>
      <c r="T49" s="4"/>
      <c r="U49" s="4"/>
      <c r="V49" s="4"/>
      <c r="W49" s="4"/>
      <c r="X49" s="4"/>
      <c r="Y49" s="4"/>
    </row>
    <row r="50" spans="1:25" ht="33.75" customHeight="1">
      <c r="A50" s="4"/>
      <c r="B50" s="5"/>
      <c r="C50" s="4"/>
      <c r="D50" s="4"/>
      <c r="E50" s="4"/>
      <c r="F50" s="4"/>
      <c r="G50" s="4"/>
      <c r="H50" s="4"/>
      <c r="I50" s="4"/>
      <c r="J50" s="4"/>
      <c r="K50" s="4"/>
      <c r="L50" s="4"/>
      <c r="M50" s="4"/>
      <c r="N50" s="4"/>
      <c r="O50" s="4"/>
      <c r="P50" s="4"/>
      <c r="Q50" s="4"/>
      <c r="R50" s="4"/>
      <c r="S50" s="4"/>
      <c r="T50" s="4"/>
      <c r="U50" s="4"/>
      <c r="V50" s="4"/>
      <c r="W50" s="4"/>
      <c r="X50" s="4"/>
      <c r="Y50" s="4"/>
    </row>
    <row r="51" spans="1:25" ht="33.75" customHeight="1">
      <c r="A51" s="4"/>
      <c r="B51" s="5"/>
      <c r="C51" s="4"/>
      <c r="D51" s="4"/>
      <c r="E51" s="4"/>
      <c r="F51" s="4"/>
      <c r="G51" s="4"/>
      <c r="H51" s="4"/>
      <c r="I51" s="4"/>
      <c r="J51" s="4"/>
      <c r="K51" s="4"/>
      <c r="L51" s="4"/>
      <c r="M51" s="4"/>
      <c r="N51" s="4"/>
      <c r="O51" s="4"/>
      <c r="P51" s="4"/>
      <c r="Q51" s="4"/>
      <c r="R51" s="4"/>
      <c r="S51" s="4"/>
      <c r="T51" s="4"/>
      <c r="U51" s="4"/>
      <c r="V51" s="4"/>
      <c r="W51" s="4"/>
      <c r="X51" s="4"/>
      <c r="Y51" s="4"/>
    </row>
    <row r="52" spans="1:25" ht="33.75" customHeight="1">
      <c r="A52" s="4"/>
      <c r="B52" s="5"/>
      <c r="C52" s="4"/>
      <c r="D52" s="4"/>
      <c r="E52" s="4"/>
      <c r="F52" s="4"/>
      <c r="G52" s="4"/>
      <c r="H52" s="4"/>
      <c r="I52" s="4"/>
      <c r="J52" s="4"/>
      <c r="K52" s="4"/>
      <c r="L52" s="4"/>
      <c r="M52" s="4"/>
      <c r="N52" s="4"/>
      <c r="O52" s="4"/>
      <c r="P52" s="4"/>
      <c r="Q52" s="4"/>
      <c r="R52" s="4"/>
      <c r="S52" s="4"/>
      <c r="T52" s="4"/>
      <c r="U52" s="4"/>
      <c r="V52" s="4"/>
      <c r="W52" s="4"/>
      <c r="X52" s="4"/>
      <c r="Y52" s="4"/>
    </row>
    <row r="53" spans="1:25" ht="33.75" customHeight="1">
      <c r="A53" s="4"/>
      <c r="B53" s="5"/>
      <c r="C53" s="4"/>
      <c r="D53" s="4"/>
      <c r="E53" s="4"/>
      <c r="F53" s="4"/>
      <c r="G53" s="4"/>
      <c r="H53" s="4"/>
      <c r="I53" s="4"/>
      <c r="J53" s="4"/>
      <c r="K53" s="4"/>
      <c r="L53" s="4"/>
      <c r="M53" s="4"/>
      <c r="N53" s="4"/>
      <c r="O53" s="4"/>
      <c r="P53" s="4"/>
      <c r="Q53" s="4"/>
      <c r="R53" s="4"/>
      <c r="S53" s="4"/>
      <c r="T53" s="4"/>
      <c r="U53" s="4"/>
      <c r="V53" s="4"/>
      <c r="W53" s="4"/>
      <c r="X53" s="4"/>
      <c r="Y53" s="4"/>
    </row>
    <row r="54" spans="1:25" ht="33.75" customHeight="1">
      <c r="A54" s="4"/>
      <c r="B54" s="5"/>
      <c r="C54" s="4"/>
      <c r="D54" s="4"/>
      <c r="E54" s="4"/>
      <c r="F54" s="4"/>
      <c r="G54" s="4"/>
      <c r="H54" s="4"/>
      <c r="I54" s="4"/>
      <c r="J54" s="4"/>
      <c r="K54" s="4"/>
      <c r="L54" s="4"/>
      <c r="M54" s="4"/>
      <c r="N54" s="4"/>
      <c r="O54" s="4"/>
      <c r="P54" s="4"/>
      <c r="Q54" s="4"/>
      <c r="R54" s="4"/>
      <c r="S54" s="4"/>
      <c r="T54" s="4"/>
      <c r="U54" s="4"/>
      <c r="V54" s="4"/>
      <c r="W54" s="4"/>
      <c r="X54" s="4"/>
      <c r="Y54" s="4"/>
    </row>
    <row r="55" spans="1:25" ht="33.75" customHeight="1">
      <c r="A55" s="4"/>
      <c r="B55" s="5"/>
      <c r="C55" s="4"/>
      <c r="D55" s="4"/>
      <c r="E55" s="4"/>
      <c r="F55" s="4"/>
      <c r="G55" s="4"/>
      <c r="H55" s="4"/>
      <c r="I55" s="4"/>
      <c r="J55" s="4"/>
      <c r="K55" s="4"/>
      <c r="L55" s="4"/>
      <c r="M55" s="4"/>
      <c r="N55" s="4"/>
      <c r="O55" s="4"/>
      <c r="P55" s="4"/>
      <c r="Q55" s="4"/>
      <c r="R55" s="4"/>
      <c r="S55" s="4"/>
      <c r="T55" s="4"/>
      <c r="U55" s="4"/>
      <c r="V55" s="4"/>
      <c r="W55" s="4"/>
      <c r="X55" s="4"/>
      <c r="Y55" s="4"/>
    </row>
    <row r="56" spans="1:25" ht="33.75" customHeight="1">
      <c r="A56" s="4"/>
      <c r="B56" s="5"/>
      <c r="C56" s="4"/>
      <c r="D56" s="4"/>
      <c r="E56" s="4"/>
      <c r="F56" s="4"/>
      <c r="G56" s="4"/>
      <c r="H56" s="4"/>
      <c r="I56" s="4"/>
      <c r="J56" s="4"/>
      <c r="K56" s="4"/>
      <c r="L56" s="4"/>
      <c r="M56" s="4"/>
      <c r="N56" s="4"/>
      <c r="O56" s="4"/>
      <c r="P56" s="4"/>
      <c r="Q56" s="4"/>
      <c r="R56" s="4"/>
      <c r="S56" s="4"/>
      <c r="T56" s="4"/>
      <c r="U56" s="4"/>
      <c r="V56" s="4"/>
      <c r="W56" s="4"/>
      <c r="X56" s="4"/>
      <c r="Y56" s="4"/>
    </row>
    <row r="57" spans="1:25" ht="33.75" customHeight="1">
      <c r="A57" s="4"/>
      <c r="B57" s="5"/>
      <c r="C57" s="4"/>
      <c r="D57" s="4"/>
      <c r="E57" s="4"/>
      <c r="F57" s="4"/>
      <c r="G57" s="4"/>
      <c r="H57" s="4"/>
      <c r="I57" s="4"/>
      <c r="J57" s="4"/>
      <c r="K57" s="4"/>
      <c r="L57" s="4"/>
      <c r="M57" s="4"/>
      <c r="N57" s="4"/>
      <c r="O57" s="4"/>
      <c r="P57" s="4"/>
      <c r="Q57" s="4"/>
      <c r="R57" s="4"/>
      <c r="S57" s="4"/>
      <c r="T57" s="4"/>
      <c r="U57" s="4"/>
      <c r="V57" s="4"/>
      <c r="W57" s="4"/>
      <c r="X57" s="4"/>
      <c r="Y57" s="4"/>
    </row>
    <row r="58" spans="1:25" ht="33.75" customHeight="1">
      <c r="A58" s="4"/>
      <c r="B58" s="5"/>
      <c r="C58" s="4"/>
      <c r="D58" s="4"/>
      <c r="E58" s="4"/>
      <c r="F58" s="4"/>
      <c r="G58" s="4"/>
      <c r="H58" s="4"/>
      <c r="I58" s="4"/>
      <c r="J58" s="4"/>
      <c r="K58" s="4"/>
      <c r="L58" s="4"/>
      <c r="M58" s="4"/>
      <c r="N58" s="4"/>
      <c r="O58" s="4"/>
      <c r="P58" s="4"/>
      <c r="Q58" s="4"/>
      <c r="R58" s="4"/>
      <c r="S58" s="4"/>
      <c r="T58" s="4"/>
      <c r="U58" s="4"/>
      <c r="V58" s="4"/>
      <c r="W58" s="4"/>
      <c r="X58" s="4"/>
      <c r="Y58" s="4"/>
    </row>
    <row r="59" spans="1:25" ht="33.75" customHeight="1">
      <c r="A59" s="4"/>
      <c r="B59" s="5"/>
      <c r="C59" s="4"/>
      <c r="D59" s="4"/>
      <c r="E59" s="4"/>
      <c r="F59" s="4"/>
      <c r="G59" s="4"/>
      <c r="H59" s="4"/>
      <c r="I59" s="4"/>
      <c r="J59" s="4"/>
      <c r="K59" s="4"/>
      <c r="L59" s="4"/>
      <c r="M59" s="4"/>
      <c r="N59" s="4"/>
      <c r="O59" s="4"/>
      <c r="P59" s="4"/>
      <c r="Q59" s="4"/>
      <c r="R59" s="4"/>
      <c r="S59" s="4"/>
      <c r="T59" s="4"/>
      <c r="U59" s="4"/>
      <c r="V59" s="4"/>
      <c r="W59" s="4"/>
      <c r="X59" s="4"/>
      <c r="Y59" s="4"/>
    </row>
    <row r="60" spans="1:25" ht="33.75" customHeight="1">
      <c r="A60" s="4"/>
      <c r="B60" s="5"/>
      <c r="C60" s="4"/>
      <c r="D60" s="4"/>
      <c r="E60" s="4"/>
      <c r="F60" s="4"/>
      <c r="G60" s="4"/>
      <c r="H60" s="4"/>
      <c r="I60" s="4"/>
      <c r="J60" s="4"/>
      <c r="K60" s="4"/>
      <c r="L60" s="4"/>
      <c r="M60" s="4"/>
      <c r="N60" s="4"/>
      <c r="O60" s="4"/>
      <c r="P60" s="4"/>
      <c r="Q60" s="4"/>
      <c r="R60" s="4"/>
      <c r="S60" s="4"/>
      <c r="T60" s="4"/>
      <c r="U60" s="4"/>
      <c r="V60" s="4"/>
      <c r="W60" s="4"/>
      <c r="X60" s="4"/>
      <c r="Y60" s="4"/>
    </row>
    <row r="61" spans="1:25" ht="33.75" customHeight="1">
      <c r="A61" s="4"/>
      <c r="B61" s="5"/>
      <c r="C61" s="4"/>
      <c r="D61" s="4"/>
      <c r="E61" s="4"/>
      <c r="F61" s="4"/>
      <c r="G61" s="4"/>
      <c r="H61" s="4"/>
      <c r="I61" s="4"/>
      <c r="J61" s="4"/>
      <c r="K61" s="4"/>
      <c r="L61" s="4"/>
      <c r="M61" s="4"/>
      <c r="N61" s="4"/>
      <c r="O61" s="4"/>
      <c r="P61" s="4"/>
      <c r="Q61" s="4"/>
      <c r="R61" s="4"/>
      <c r="S61" s="4"/>
      <c r="T61" s="4"/>
      <c r="U61" s="4"/>
      <c r="V61" s="4"/>
      <c r="W61" s="4"/>
      <c r="X61" s="4"/>
      <c r="Y61" s="4"/>
    </row>
    <row r="62" spans="1:25" ht="33.75" customHeight="1">
      <c r="A62" s="4"/>
      <c r="B62" s="5"/>
      <c r="C62" s="4"/>
      <c r="D62" s="4"/>
      <c r="E62" s="4"/>
      <c r="F62" s="4"/>
      <c r="G62" s="4"/>
      <c r="H62" s="4"/>
      <c r="I62" s="4"/>
      <c r="J62" s="4"/>
      <c r="K62" s="4"/>
      <c r="L62" s="4"/>
      <c r="M62" s="4"/>
      <c r="N62" s="4"/>
      <c r="O62" s="4"/>
      <c r="P62" s="4"/>
      <c r="Q62" s="4"/>
      <c r="R62" s="4"/>
      <c r="S62" s="4"/>
      <c r="T62" s="4"/>
      <c r="U62" s="4"/>
      <c r="V62" s="4"/>
      <c r="W62" s="4"/>
      <c r="X62" s="4"/>
      <c r="Y62" s="4"/>
    </row>
    <row r="63" spans="1:25" ht="33.75" customHeight="1">
      <c r="A63" s="4"/>
      <c r="B63" s="5"/>
      <c r="C63" s="4"/>
      <c r="D63" s="4"/>
      <c r="E63" s="4"/>
      <c r="F63" s="4"/>
      <c r="G63" s="4"/>
      <c r="H63" s="4"/>
      <c r="I63" s="4"/>
      <c r="J63" s="4"/>
      <c r="K63" s="4"/>
      <c r="L63" s="4"/>
      <c r="M63" s="4"/>
      <c r="N63" s="4"/>
      <c r="O63" s="4"/>
      <c r="P63" s="4"/>
      <c r="Q63" s="4"/>
      <c r="R63" s="4"/>
      <c r="S63" s="4"/>
      <c r="T63" s="4"/>
      <c r="U63" s="4"/>
      <c r="V63" s="4"/>
      <c r="W63" s="4"/>
      <c r="X63" s="4"/>
      <c r="Y63" s="4"/>
    </row>
    <row r="64" spans="1:25" ht="33.75" customHeight="1">
      <c r="A64" s="4"/>
      <c r="B64" s="5"/>
      <c r="C64" s="4"/>
      <c r="D64" s="4"/>
      <c r="E64" s="4"/>
      <c r="F64" s="4"/>
      <c r="G64" s="4"/>
      <c r="H64" s="4"/>
      <c r="I64" s="4"/>
      <c r="J64" s="4"/>
      <c r="K64" s="4"/>
      <c r="L64" s="4"/>
      <c r="M64" s="4"/>
      <c r="N64" s="4"/>
      <c r="O64" s="4"/>
      <c r="P64" s="4"/>
      <c r="Q64" s="4"/>
      <c r="R64" s="4"/>
      <c r="S64" s="4"/>
      <c r="T64" s="4"/>
      <c r="U64" s="4"/>
      <c r="V64" s="4"/>
      <c r="W64" s="4"/>
      <c r="X64" s="4"/>
      <c r="Y64" s="4"/>
    </row>
    <row r="65" spans="1:25" ht="33.75" customHeight="1">
      <c r="A65" s="4"/>
      <c r="B65" s="5"/>
      <c r="C65" s="4"/>
      <c r="D65" s="4"/>
      <c r="E65" s="4"/>
      <c r="F65" s="4"/>
      <c r="G65" s="4"/>
      <c r="H65" s="4"/>
      <c r="I65" s="4"/>
      <c r="J65" s="4"/>
      <c r="K65" s="4"/>
      <c r="L65" s="4"/>
      <c r="M65" s="4"/>
      <c r="N65" s="4"/>
      <c r="O65" s="4"/>
      <c r="P65" s="4"/>
      <c r="Q65" s="4"/>
      <c r="R65" s="4"/>
      <c r="S65" s="4"/>
      <c r="T65" s="4"/>
      <c r="U65" s="4"/>
      <c r="V65" s="4"/>
      <c r="W65" s="4"/>
      <c r="X65" s="4"/>
      <c r="Y65" s="4"/>
    </row>
    <row r="66" spans="1:25" ht="33.75" customHeight="1">
      <c r="A66" s="4"/>
      <c r="B66" s="5"/>
      <c r="C66" s="4"/>
      <c r="D66" s="4"/>
      <c r="E66" s="4"/>
      <c r="F66" s="4"/>
      <c r="G66" s="4"/>
      <c r="H66" s="4"/>
      <c r="I66" s="4"/>
      <c r="J66" s="4"/>
      <c r="K66" s="4"/>
      <c r="L66" s="4"/>
      <c r="M66" s="4"/>
      <c r="N66" s="4"/>
      <c r="O66" s="4"/>
      <c r="P66" s="4"/>
      <c r="Q66" s="4"/>
      <c r="R66" s="4"/>
      <c r="S66" s="4"/>
      <c r="T66" s="4"/>
      <c r="U66" s="4"/>
      <c r="V66" s="4"/>
      <c r="W66" s="4"/>
      <c r="X66" s="4"/>
      <c r="Y66" s="4"/>
    </row>
    <row r="67" spans="1:25" ht="33.75" customHeight="1">
      <c r="A67" s="4"/>
      <c r="B67" s="5"/>
      <c r="C67" s="4"/>
      <c r="D67" s="4"/>
      <c r="E67" s="4"/>
      <c r="F67" s="4"/>
      <c r="G67" s="4"/>
      <c r="H67" s="4"/>
      <c r="I67" s="4"/>
      <c r="J67" s="4"/>
      <c r="K67" s="4"/>
      <c r="L67" s="4"/>
      <c r="M67" s="4"/>
      <c r="N67" s="4"/>
      <c r="O67" s="4"/>
      <c r="P67" s="4"/>
      <c r="Q67" s="4"/>
      <c r="R67" s="4"/>
      <c r="S67" s="4"/>
      <c r="T67" s="4"/>
      <c r="U67" s="4"/>
      <c r="V67" s="4"/>
      <c r="W67" s="4"/>
      <c r="X67" s="4"/>
      <c r="Y67" s="4"/>
    </row>
    <row r="68" spans="1:25" ht="33.75" customHeight="1">
      <c r="A68" s="4"/>
      <c r="B68" s="5"/>
      <c r="C68" s="4"/>
      <c r="D68" s="4"/>
      <c r="E68" s="4"/>
      <c r="F68" s="4"/>
      <c r="G68" s="4"/>
      <c r="H68" s="4"/>
      <c r="I68" s="4"/>
      <c r="J68" s="4"/>
      <c r="K68" s="4"/>
      <c r="L68" s="4"/>
      <c r="M68" s="4"/>
      <c r="N68" s="4"/>
      <c r="O68" s="4"/>
      <c r="P68" s="4"/>
      <c r="Q68" s="4"/>
      <c r="R68" s="4"/>
      <c r="S68" s="4"/>
      <c r="T68" s="4"/>
      <c r="U68" s="4"/>
      <c r="V68" s="4"/>
      <c r="W68" s="4"/>
      <c r="X68" s="4"/>
      <c r="Y68" s="4"/>
    </row>
    <row r="69" spans="1:25" ht="33.75" customHeight="1">
      <c r="A69" s="4"/>
      <c r="B69" s="5"/>
      <c r="C69" s="4"/>
      <c r="D69" s="4"/>
      <c r="E69" s="4"/>
      <c r="F69" s="4"/>
      <c r="G69" s="4"/>
      <c r="H69" s="4"/>
      <c r="I69" s="4"/>
      <c r="J69" s="4"/>
      <c r="K69" s="4"/>
      <c r="L69" s="4"/>
      <c r="M69" s="4"/>
      <c r="N69" s="4"/>
      <c r="O69" s="4"/>
      <c r="P69" s="4"/>
      <c r="Q69" s="4"/>
      <c r="R69" s="4"/>
      <c r="S69" s="4"/>
      <c r="T69" s="4"/>
      <c r="U69" s="4"/>
      <c r="V69" s="4"/>
      <c r="W69" s="4"/>
      <c r="X69" s="4"/>
      <c r="Y69" s="4"/>
    </row>
    <row r="70" spans="1:25" ht="33.75" customHeight="1">
      <c r="A70" s="4"/>
      <c r="B70" s="5"/>
      <c r="C70" s="4"/>
      <c r="D70" s="4"/>
      <c r="E70" s="4"/>
      <c r="F70" s="4"/>
      <c r="G70" s="4"/>
      <c r="H70" s="4"/>
      <c r="I70" s="4"/>
      <c r="J70" s="4"/>
      <c r="K70" s="4"/>
      <c r="L70" s="4"/>
      <c r="M70" s="4"/>
      <c r="N70" s="4"/>
      <c r="O70" s="4"/>
      <c r="P70" s="4"/>
      <c r="Q70" s="4"/>
      <c r="R70" s="4"/>
      <c r="S70" s="4"/>
      <c r="T70" s="4"/>
      <c r="U70" s="4"/>
      <c r="V70" s="4"/>
      <c r="W70" s="4"/>
      <c r="X70" s="4"/>
      <c r="Y70" s="4"/>
    </row>
    <row r="71" spans="1:25" ht="33.75" customHeight="1">
      <c r="A71" s="4"/>
      <c r="B71" s="5"/>
      <c r="C71" s="4"/>
      <c r="D71" s="4"/>
      <c r="E71" s="4"/>
      <c r="F71" s="4"/>
      <c r="G71" s="4"/>
      <c r="H71" s="4"/>
      <c r="I71" s="4"/>
      <c r="J71" s="4"/>
      <c r="K71" s="4"/>
      <c r="L71" s="4"/>
      <c r="M71" s="4"/>
      <c r="N71" s="4"/>
      <c r="O71" s="4"/>
      <c r="P71" s="4"/>
      <c r="Q71" s="4"/>
      <c r="R71" s="4"/>
      <c r="S71" s="4"/>
      <c r="T71" s="4"/>
      <c r="U71" s="4"/>
      <c r="V71" s="4"/>
      <c r="W71" s="4"/>
      <c r="X71" s="4"/>
      <c r="Y71" s="4"/>
    </row>
    <row r="72" spans="1:25" ht="33.75" customHeight="1">
      <c r="A72" s="4"/>
      <c r="B72" s="5"/>
      <c r="C72" s="4"/>
      <c r="D72" s="4"/>
      <c r="E72" s="4"/>
      <c r="F72" s="4"/>
      <c r="G72" s="4"/>
      <c r="H72" s="4"/>
      <c r="I72" s="4"/>
      <c r="J72" s="4"/>
      <c r="K72" s="4"/>
      <c r="L72" s="4"/>
      <c r="M72" s="4"/>
      <c r="N72" s="4"/>
      <c r="O72" s="4"/>
      <c r="P72" s="4"/>
      <c r="Q72" s="4"/>
      <c r="R72" s="4"/>
      <c r="S72" s="4"/>
      <c r="T72" s="4"/>
      <c r="U72" s="4"/>
      <c r="V72" s="4"/>
      <c r="W72" s="4"/>
      <c r="X72" s="4"/>
      <c r="Y72" s="4"/>
    </row>
    <row r="73" spans="1:25" ht="33.75" customHeight="1">
      <c r="A73" s="4"/>
      <c r="B73" s="5"/>
      <c r="C73" s="4"/>
      <c r="D73" s="4"/>
      <c r="E73" s="4"/>
      <c r="F73" s="4"/>
      <c r="G73" s="4"/>
      <c r="H73" s="4"/>
      <c r="I73" s="4"/>
      <c r="J73" s="4"/>
      <c r="K73" s="4"/>
      <c r="L73" s="4"/>
      <c r="M73" s="4"/>
      <c r="N73" s="4"/>
      <c r="O73" s="4"/>
      <c r="P73" s="4"/>
      <c r="Q73" s="4"/>
      <c r="R73" s="4"/>
      <c r="S73" s="4"/>
      <c r="T73" s="4"/>
      <c r="U73" s="4"/>
      <c r="V73" s="4"/>
      <c r="W73" s="4"/>
      <c r="X73" s="4"/>
      <c r="Y73" s="4"/>
    </row>
    <row r="74" spans="1:25" ht="33.75" customHeight="1">
      <c r="A74" s="4"/>
      <c r="B74" s="5"/>
      <c r="C74" s="4"/>
      <c r="D74" s="4"/>
      <c r="E74" s="4"/>
      <c r="F74" s="4"/>
      <c r="G74" s="4"/>
      <c r="H74" s="4"/>
      <c r="I74" s="4"/>
      <c r="J74" s="4"/>
      <c r="K74" s="4"/>
      <c r="L74" s="4"/>
      <c r="M74" s="4"/>
      <c r="N74" s="4"/>
      <c r="O74" s="4"/>
      <c r="P74" s="4"/>
      <c r="Q74" s="4"/>
      <c r="R74" s="4"/>
      <c r="S74" s="4"/>
      <c r="T74" s="4"/>
      <c r="U74" s="4"/>
      <c r="V74" s="4"/>
      <c r="W74" s="4"/>
      <c r="X74" s="4"/>
      <c r="Y74" s="4"/>
    </row>
    <row r="75" spans="1:25" ht="33.75" customHeight="1">
      <c r="A75" s="4"/>
      <c r="B75" s="5"/>
      <c r="C75" s="4"/>
      <c r="D75" s="4"/>
      <c r="E75" s="4"/>
      <c r="F75" s="4"/>
      <c r="G75" s="4"/>
      <c r="H75" s="4"/>
      <c r="I75" s="4"/>
      <c r="J75" s="4"/>
      <c r="K75" s="4"/>
      <c r="L75" s="4"/>
      <c r="M75" s="4"/>
      <c r="N75" s="4"/>
      <c r="O75" s="4"/>
      <c r="P75" s="4"/>
      <c r="Q75" s="4"/>
      <c r="R75" s="4"/>
      <c r="S75" s="4"/>
      <c r="T75" s="4"/>
      <c r="U75" s="4"/>
      <c r="V75" s="4"/>
      <c r="W75" s="4"/>
      <c r="X75" s="4"/>
      <c r="Y75" s="4"/>
    </row>
    <row r="76" spans="1:25" ht="33.75" customHeight="1">
      <c r="A76" s="4"/>
      <c r="B76" s="5"/>
      <c r="C76" s="4"/>
      <c r="D76" s="4"/>
      <c r="E76" s="4"/>
      <c r="F76" s="4"/>
      <c r="G76" s="4"/>
      <c r="H76" s="4"/>
      <c r="I76" s="4"/>
      <c r="J76" s="4"/>
      <c r="K76" s="4"/>
      <c r="L76" s="4"/>
      <c r="M76" s="4"/>
      <c r="N76" s="4"/>
      <c r="O76" s="4"/>
      <c r="P76" s="4"/>
      <c r="Q76" s="4"/>
      <c r="R76" s="4"/>
      <c r="S76" s="4"/>
      <c r="T76" s="4"/>
      <c r="U76" s="4"/>
      <c r="V76" s="4"/>
      <c r="W76" s="4"/>
      <c r="X76" s="4"/>
      <c r="Y76" s="4"/>
    </row>
    <row r="77" spans="1:25" ht="33.75" customHeight="1">
      <c r="A77" s="4"/>
      <c r="B77" s="5"/>
      <c r="C77" s="4"/>
      <c r="D77" s="4"/>
      <c r="E77" s="4"/>
      <c r="F77" s="4"/>
      <c r="G77" s="4"/>
      <c r="H77" s="4"/>
      <c r="I77" s="4"/>
      <c r="J77" s="4"/>
      <c r="K77" s="4"/>
      <c r="L77" s="4"/>
      <c r="M77" s="4"/>
      <c r="N77" s="4"/>
      <c r="O77" s="4"/>
      <c r="P77" s="4"/>
      <c r="Q77" s="4"/>
      <c r="R77" s="4"/>
      <c r="S77" s="4"/>
      <c r="T77" s="4"/>
      <c r="U77" s="4"/>
      <c r="V77" s="4"/>
      <c r="W77" s="4"/>
      <c r="X77" s="4"/>
      <c r="Y77" s="4"/>
    </row>
    <row r="78" spans="1:25" ht="33.75" customHeight="1">
      <c r="A78" s="4"/>
      <c r="B78" s="5"/>
      <c r="C78" s="4"/>
      <c r="D78" s="4"/>
      <c r="E78" s="4"/>
      <c r="F78" s="4"/>
      <c r="G78" s="4"/>
      <c r="H78" s="4"/>
      <c r="I78" s="4"/>
      <c r="J78" s="4"/>
      <c r="K78" s="4"/>
      <c r="L78" s="4"/>
      <c r="M78" s="4"/>
      <c r="N78" s="4"/>
      <c r="O78" s="4"/>
      <c r="P78" s="4"/>
      <c r="Q78" s="4"/>
      <c r="R78" s="4"/>
      <c r="S78" s="4"/>
      <c r="T78" s="4"/>
      <c r="U78" s="4"/>
      <c r="V78" s="4"/>
      <c r="W78" s="4"/>
      <c r="X78" s="4"/>
      <c r="Y78" s="4"/>
    </row>
    <row r="79" spans="1:25" ht="33.75" customHeight="1">
      <c r="A79" s="4"/>
      <c r="B79" s="5"/>
      <c r="C79" s="4"/>
      <c r="D79" s="4"/>
      <c r="E79" s="4"/>
      <c r="F79" s="4"/>
      <c r="G79" s="4"/>
      <c r="H79" s="4"/>
      <c r="I79" s="4"/>
      <c r="J79" s="4"/>
      <c r="K79" s="4"/>
      <c r="L79" s="4"/>
      <c r="M79" s="4"/>
      <c r="N79" s="4"/>
      <c r="O79" s="4"/>
      <c r="P79" s="4"/>
      <c r="Q79" s="4"/>
      <c r="R79" s="4"/>
      <c r="S79" s="4"/>
      <c r="T79" s="4"/>
      <c r="U79" s="4"/>
      <c r="V79" s="4"/>
      <c r="W79" s="4"/>
      <c r="X79" s="4"/>
      <c r="Y79" s="4"/>
    </row>
    <row r="80" spans="1:25" ht="33.75" customHeight="1">
      <c r="A80" s="4"/>
      <c r="B80" s="5"/>
      <c r="C80" s="4"/>
      <c r="D80" s="4"/>
      <c r="E80" s="4"/>
      <c r="F80" s="4"/>
      <c r="G80" s="4"/>
      <c r="H80" s="4"/>
      <c r="I80" s="4"/>
      <c r="J80" s="4"/>
      <c r="K80" s="4"/>
      <c r="L80" s="4"/>
      <c r="M80" s="4"/>
      <c r="N80" s="4"/>
      <c r="O80" s="4"/>
      <c r="P80" s="4"/>
      <c r="Q80" s="4"/>
      <c r="R80" s="4"/>
      <c r="S80" s="4"/>
      <c r="T80" s="4"/>
      <c r="U80" s="4"/>
      <c r="V80" s="4"/>
      <c r="W80" s="4"/>
      <c r="X80" s="4"/>
      <c r="Y80" s="4"/>
    </row>
    <row r="81" spans="1:25" ht="33.75" customHeight="1">
      <c r="A81" s="4"/>
      <c r="B81" s="5"/>
      <c r="C81" s="4"/>
      <c r="D81" s="4"/>
      <c r="E81" s="4"/>
      <c r="F81" s="4"/>
      <c r="G81" s="4"/>
      <c r="H81" s="4"/>
      <c r="I81" s="4"/>
      <c r="J81" s="4"/>
      <c r="K81" s="4"/>
      <c r="L81" s="4"/>
      <c r="M81" s="4"/>
      <c r="N81" s="4"/>
      <c r="O81" s="4"/>
      <c r="P81" s="4"/>
      <c r="Q81" s="4"/>
      <c r="R81" s="4"/>
      <c r="S81" s="4"/>
      <c r="T81" s="4"/>
      <c r="U81" s="4"/>
      <c r="V81" s="4"/>
      <c r="W81" s="4"/>
      <c r="X81" s="4"/>
      <c r="Y81" s="4"/>
    </row>
    <row r="82" spans="1:25" ht="33.75" customHeight="1">
      <c r="A82" s="4"/>
      <c r="B82" s="5"/>
      <c r="C82" s="4"/>
      <c r="D82" s="4"/>
      <c r="E82" s="4"/>
      <c r="F82" s="4"/>
      <c r="G82" s="4"/>
      <c r="H82" s="4"/>
      <c r="I82" s="4"/>
      <c r="J82" s="4"/>
      <c r="K82" s="4"/>
      <c r="L82" s="4"/>
      <c r="M82" s="4"/>
      <c r="N82" s="4"/>
      <c r="O82" s="4"/>
      <c r="P82" s="4"/>
      <c r="Q82" s="4"/>
      <c r="R82" s="4"/>
      <c r="S82" s="4"/>
      <c r="T82" s="4"/>
      <c r="U82" s="4"/>
      <c r="V82" s="4"/>
      <c r="W82" s="4"/>
      <c r="X82" s="4"/>
      <c r="Y82" s="4"/>
    </row>
    <row r="83" spans="1:25" ht="33.75" customHeight="1">
      <c r="A83" s="4"/>
      <c r="B83" s="5"/>
      <c r="C83" s="4"/>
      <c r="D83" s="4"/>
      <c r="E83" s="4"/>
      <c r="F83" s="4"/>
      <c r="G83" s="4"/>
      <c r="H83" s="4"/>
      <c r="I83" s="4"/>
      <c r="J83" s="4"/>
      <c r="K83" s="4"/>
      <c r="L83" s="4"/>
      <c r="M83" s="4"/>
      <c r="N83" s="4"/>
      <c r="O83" s="4"/>
      <c r="P83" s="4"/>
      <c r="Q83" s="4"/>
      <c r="R83" s="4"/>
      <c r="S83" s="4"/>
      <c r="T83" s="4"/>
      <c r="U83" s="4"/>
      <c r="V83" s="4"/>
      <c r="W83" s="4"/>
      <c r="X83" s="4"/>
      <c r="Y83" s="4"/>
    </row>
    <row r="84" spans="1:25" ht="33.75" customHeight="1">
      <c r="A84" s="4"/>
      <c r="B84" s="5"/>
      <c r="C84" s="4"/>
      <c r="D84" s="4"/>
      <c r="E84" s="4"/>
      <c r="F84" s="4"/>
      <c r="G84" s="4"/>
      <c r="H84" s="4"/>
      <c r="I84" s="4"/>
      <c r="J84" s="4"/>
      <c r="K84" s="4"/>
      <c r="L84" s="4"/>
      <c r="M84" s="4"/>
      <c r="N84" s="4"/>
      <c r="O84" s="4"/>
      <c r="P84" s="4"/>
      <c r="Q84" s="4"/>
      <c r="R84" s="4"/>
      <c r="S84" s="4"/>
      <c r="T84" s="4"/>
      <c r="U84" s="4"/>
      <c r="V84" s="4"/>
      <c r="W84" s="4"/>
      <c r="X84" s="4"/>
      <c r="Y84" s="4"/>
    </row>
    <row r="85" spans="1:25" ht="33.75" customHeight="1">
      <c r="A85" s="4"/>
      <c r="B85" s="5"/>
      <c r="C85" s="4"/>
      <c r="D85" s="4"/>
      <c r="E85" s="4"/>
      <c r="F85" s="4"/>
      <c r="G85" s="4"/>
      <c r="H85" s="4"/>
      <c r="I85" s="4"/>
      <c r="J85" s="4"/>
      <c r="K85" s="4"/>
      <c r="L85" s="4"/>
      <c r="M85" s="4"/>
      <c r="N85" s="4"/>
      <c r="O85" s="4"/>
      <c r="P85" s="4"/>
      <c r="Q85" s="4"/>
      <c r="R85" s="4"/>
      <c r="S85" s="4"/>
      <c r="T85" s="4"/>
      <c r="U85" s="4"/>
      <c r="V85" s="4"/>
      <c r="W85" s="4"/>
      <c r="X85" s="4"/>
      <c r="Y85" s="4"/>
    </row>
    <row r="86" spans="1:25" ht="33.75" customHeight="1">
      <c r="A86" s="4"/>
      <c r="B86" s="5"/>
      <c r="C86" s="4"/>
      <c r="D86" s="4"/>
      <c r="E86" s="4"/>
      <c r="F86" s="4"/>
      <c r="G86" s="4"/>
      <c r="H86" s="4"/>
      <c r="I86" s="4"/>
      <c r="J86" s="4"/>
      <c r="K86" s="4"/>
      <c r="L86" s="4"/>
      <c r="M86" s="4"/>
      <c r="N86" s="4"/>
      <c r="O86" s="4"/>
      <c r="P86" s="4"/>
      <c r="Q86" s="4"/>
      <c r="R86" s="4"/>
      <c r="S86" s="4"/>
      <c r="T86" s="4"/>
      <c r="U86" s="4"/>
      <c r="V86" s="4"/>
      <c r="W86" s="4"/>
      <c r="X86" s="4"/>
      <c r="Y86" s="4"/>
    </row>
    <row r="87" spans="1:25" ht="33.75" customHeight="1">
      <c r="A87" s="4"/>
      <c r="B87" s="5"/>
      <c r="C87" s="4"/>
      <c r="D87" s="4"/>
      <c r="E87" s="4"/>
      <c r="F87" s="4"/>
      <c r="G87" s="4"/>
      <c r="H87" s="4"/>
      <c r="I87" s="4"/>
      <c r="J87" s="4"/>
      <c r="K87" s="4"/>
      <c r="L87" s="4"/>
      <c r="M87" s="4"/>
      <c r="N87" s="4"/>
      <c r="O87" s="4"/>
      <c r="P87" s="4"/>
      <c r="Q87" s="4"/>
      <c r="R87" s="4"/>
      <c r="S87" s="4"/>
      <c r="T87" s="4"/>
      <c r="U87" s="4"/>
      <c r="V87" s="4"/>
      <c r="W87" s="4"/>
      <c r="X87" s="4"/>
      <c r="Y87" s="4"/>
    </row>
    <row r="88" spans="1:25" ht="33.75" customHeight="1">
      <c r="A88" s="4"/>
      <c r="B88" s="5"/>
      <c r="C88" s="4"/>
      <c r="D88" s="4"/>
      <c r="E88" s="4"/>
      <c r="F88" s="4"/>
      <c r="G88" s="4"/>
      <c r="H88" s="4"/>
      <c r="I88" s="4"/>
      <c r="J88" s="4"/>
      <c r="K88" s="4"/>
      <c r="L88" s="4"/>
      <c r="M88" s="4"/>
      <c r="N88" s="4"/>
      <c r="O88" s="4"/>
      <c r="P88" s="4"/>
      <c r="Q88" s="4"/>
      <c r="R88" s="4"/>
      <c r="S88" s="4"/>
      <c r="T88" s="4"/>
      <c r="U88" s="4"/>
      <c r="V88" s="4"/>
      <c r="W88" s="4"/>
      <c r="X88" s="4"/>
      <c r="Y88" s="4"/>
    </row>
    <row r="89" spans="1:25" ht="33.75" customHeight="1">
      <c r="A89" s="4"/>
      <c r="B89" s="5"/>
      <c r="C89" s="4"/>
      <c r="D89" s="4"/>
      <c r="E89" s="4"/>
      <c r="F89" s="4"/>
      <c r="G89" s="4"/>
      <c r="H89" s="4"/>
      <c r="I89" s="4"/>
      <c r="J89" s="4"/>
      <c r="K89" s="4"/>
      <c r="L89" s="4"/>
      <c r="M89" s="4"/>
      <c r="N89" s="4"/>
      <c r="O89" s="4"/>
      <c r="P89" s="4"/>
      <c r="Q89" s="4"/>
      <c r="R89" s="4"/>
      <c r="S89" s="4"/>
      <c r="T89" s="4"/>
      <c r="U89" s="4"/>
      <c r="V89" s="4"/>
      <c r="W89" s="4"/>
      <c r="X89" s="4"/>
      <c r="Y89" s="4"/>
    </row>
    <row r="90" spans="1:25" ht="33.75" customHeight="1">
      <c r="A90" s="4"/>
      <c r="B90" s="5"/>
      <c r="C90" s="4"/>
      <c r="D90" s="4"/>
      <c r="E90" s="4"/>
      <c r="F90" s="4"/>
      <c r="G90" s="4"/>
      <c r="H90" s="4"/>
      <c r="I90" s="4"/>
      <c r="J90" s="4"/>
      <c r="K90" s="4"/>
      <c r="L90" s="4"/>
      <c r="M90" s="4"/>
      <c r="N90" s="4"/>
      <c r="O90" s="4"/>
      <c r="P90" s="4"/>
      <c r="Q90" s="4"/>
      <c r="R90" s="4"/>
      <c r="S90" s="4"/>
      <c r="T90" s="4"/>
      <c r="U90" s="4"/>
      <c r="V90" s="4"/>
      <c r="W90" s="4"/>
      <c r="X90" s="4"/>
      <c r="Y90" s="4"/>
    </row>
    <row r="91" spans="1:25" ht="33.75" customHeight="1">
      <c r="A91" s="4"/>
      <c r="B91" s="5"/>
      <c r="C91" s="4"/>
      <c r="D91" s="4"/>
      <c r="E91" s="4"/>
      <c r="F91" s="4"/>
      <c r="G91" s="4"/>
      <c r="H91" s="4"/>
      <c r="I91" s="4"/>
      <c r="J91" s="4"/>
      <c r="K91" s="4"/>
      <c r="L91" s="4"/>
      <c r="M91" s="4"/>
      <c r="N91" s="4"/>
      <c r="O91" s="4"/>
      <c r="P91" s="4"/>
      <c r="Q91" s="4"/>
      <c r="R91" s="4"/>
      <c r="S91" s="4"/>
      <c r="T91" s="4"/>
      <c r="U91" s="4"/>
      <c r="V91" s="4"/>
      <c r="W91" s="4"/>
      <c r="X91" s="4"/>
      <c r="Y91" s="4"/>
    </row>
    <row r="92" spans="1:25" ht="33.75" customHeight="1">
      <c r="A92" s="4"/>
      <c r="B92" s="5"/>
      <c r="C92" s="4"/>
      <c r="D92" s="4"/>
      <c r="E92" s="4"/>
      <c r="F92" s="4"/>
      <c r="G92" s="4"/>
      <c r="H92" s="4"/>
      <c r="I92" s="4"/>
      <c r="J92" s="4"/>
      <c r="K92" s="4"/>
      <c r="L92" s="4"/>
      <c r="M92" s="4"/>
      <c r="N92" s="4"/>
      <c r="O92" s="4"/>
      <c r="P92" s="4"/>
      <c r="Q92" s="4"/>
      <c r="R92" s="4"/>
      <c r="S92" s="4"/>
      <c r="T92" s="4"/>
      <c r="U92" s="4"/>
      <c r="V92" s="4"/>
      <c r="W92" s="4"/>
      <c r="X92" s="4"/>
      <c r="Y92" s="4"/>
    </row>
    <row r="93" spans="1:25" ht="33.75" customHeight="1">
      <c r="A93" s="4"/>
      <c r="B93" s="5"/>
      <c r="C93" s="4"/>
      <c r="D93" s="4"/>
      <c r="E93" s="4"/>
      <c r="F93" s="4"/>
      <c r="G93" s="4"/>
      <c r="H93" s="4"/>
      <c r="I93" s="4"/>
      <c r="J93" s="4"/>
      <c r="K93" s="4"/>
      <c r="L93" s="4"/>
      <c r="M93" s="4"/>
      <c r="N93" s="4"/>
      <c r="O93" s="4"/>
      <c r="P93" s="4"/>
      <c r="Q93" s="4"/>
      <c r="R93" s="4"/>
      <c r="S93" s="4"/>
      <c r="T93" s="4"/>
      <c r="U93" s="4"/>
      <c r="V93" s="4"/>
      <c r="W93" s="4"/>
      <c r="X93" s="4"/>
      <c r="Y93" s="4"/>
    </row>
    <row r="94" spans="1:25" ht="33.75" customHeight="1">
      <c r="A94" s="4"/>
      <c r="B94" s="5"/>
      <c r="C94" s="4"/>
      <c r="D94" s="4"/>
      <c r="E94" s="4"/>
      <c r="F94" s="4"/>
      <c r="G94" s="4"/>
      <c r="H94" s="4"/>
      <c r="I94" s="4"/>
      <c r="J94" s="4"/>
      <c r="K94" s="4"/>
      <c r="L94" s="4"/>
      <c r="M94" s="4"/>
      <c r="N94" s="4"/>
      <c r="O94" s="4"/>
      <c r="P94" s="4"/>
      <c r="Q94" s="4"/>
      <c r="R94" s="4"/>
      <c r="S94" s="4"/>
      <c r="T94" s="4"/>
      <c r="U94" s="4"/>
      <c r="V94" s="4"/>
      <c r="W94" s="4"/>
      <c r="X94" s="4"/>
      <c r="Y94" s="4"/>
    </row>
    <row r="95" spans="1:25" ht="33.75" customHeight="1">
      <c r="A95" s="4"/>
      <c r="B95" s="5"/>
      <c r="C95" s="4"/>
      <c r="D95" s="4"/>
      <c r="E95" s="4"/>
      <c r="F95" s="4"/>
      <c r="G95" s="4"/>
      <c r="H95" s="4"/>
      <c r="I95" s="4"/>
      <c r="J95" s="4"/>
      <c r="K95" s="4"/>
      <c r="L95" s="4"/>
      <c r="M95" s="4"/>
      <c r="N95" s="4"/>
      <c r="O95" s="4"/>
      <c r="P95" s="4"/>
      <c r="Q95" s="4"/>
      <c r="R95" s="4"/>
      <c r="S95" s="4"/>
      <c r="T95" s="4"/>
      <c r="U95" s="4"/>
      <c r="V95" s="4"/>
      <c r="W95" s="4"/>
      <c r="X95" s="4"/>
      <c r="Y95" s="4"/>
    </row>
    <row r="96" spans="1:25" ht="33.75" customHeight="1">
      <c r="A96" s="4"/>
      <c r="B96" s="5"/>
      <c r="C96" s="4"/>
      <c r="D96" s="4"/>
      <c r="E96" s="4"/>
      <c r="F96" s="4"/>
      <c r="G96" s="4"/>
      <c r="H96" s="4"/>
      <c r="I96" s="4"/>
      <c r="J96" s="4"/>
      <c r="K96" s="4"/>
      <c r="L96" s="4"/>
      <c r="M96" s="4"/>
      <c r="N96" s="4"/>
      <c r="O96" s="4"/>
      <c r="P96" s="4"/>
      <c r="Q96" s="4"/>
      <c r="R96" s="4"/>
      <c r="S96" s="4"/>
      <c r="T96" s="4"/>
      <c r="U96" s="4"/>
      <c r="V96" s="4"/>
      <c r="W96" s="4"/>
      <c r="X96" s="4"/>
      <c r="Y96" s="4"/>
    </row>
    <row r="97" spans="1:25" ht="33.75" customHeight="1">
      <c r="A97" s="4"/>
      <c r="B97" s="5"/>
      <c r="C97" s="4"/>
      <c r="D97" s="4"/>
      <c r="E97" s="4"/>
      <c r="F97" s="4"/>
      <c r="G97" s="4"/>
      <c r="H97" s="4"/>
      <c r="I97" s="4"/>
      <c r="J97" s="4"/>
      <c r="K97" s="4"/>
      <c r="L97" s="4"/>
      <c r="M97" s="4"/>
      <c r="N97" s="4"/>
      <c r="O97" s="4"/>
      <c r="P97" s="4"/>
      <c r="Q97" s="4"/>
      <c r="R97" s="4"/>
      <c r="S97" s="4"/>
      <c r="T97" s="4"/>
      <c r="U97" s="4"/>
      <c r="V97" s="4"/>
      <c r="W97" s="4"/>
      <c r="X97" s="4"/>
      <c r="Y97" s="4"/>
    </row>
    <row r="98" spans="1:25" ht="33.75" customHeight="1">
      <c r="A98" s="4"/>
      <c r="B98" s="5"/>
      <c r="C98" s="4"/>
      <c r="D98" s="4"/>
      <c r="E98" s="4"/>
      <c r="F98" s="4"/>
      <c r="G98" s="4"/>
      <c r="H98" s="4"/>
      <c r="I98" s="4"/>
      <c r="J98" s="4"/>
      <c r="K98" s="4"/>
      <c r="L98" s="4"/>
      <c r="M98" s="4"/>
      <c r="N98" s="4"/>
      <c r="O98" s="4"/>
      <c r="P98" s="4"/>
      <c r="Q98" s="4"/>
      <c r="R98" s="4"/>
      <c r="S98" s="4"/>
      <c r="T98" s="4"/>
      <c r="U98" s="4"/>
      <c r="V98" s="4"/>
      <c r="W98" s="4"/>
      <c r="X98" s="4"/>
      <c r="Y98" s="4"/>
    </row>
    <row r="99" spans="1:25" ht="33.75" customHeight="1">
      <c r="A99" s="4"/>
      <c r="B99" s="5"/>
      <c r="C99" s="4"/>
      <c r="D99" s="4"/>
      <c r="E99" s="4"/>
      <c r="F99" s="4"/>
      <c r="G99" s="4"/>
      <c r="H99" s="4"/>
      <c r="I99" s="4"/>
      <c r="J99" s="4"/>
      <c r="K99" s="4"/>
      <c r="L99" s="4"/>
      <c r="M99" s="4"/>
      <c r="N99" s="4"/>
      <c r="O99" s="4"/>
      <c r="P99" s="4"/>
      <c r="Q99" s="4"/>
      <c r="R99" s="4"/>
      <c r="S99" s="4"/>
      <c r="T99" s="4"/>
      <c r="U99" s="4"/>
      <c r="V99" s="4"/>
      <c r="W99" s="4"/>
      <c r="X99" s="4"/>
      <c r="Y99" s="4"/>
    </row>
    <row r="100" spans="1:25" ht="33.75" customHeight="1">
      <c r="A100" s="4"/>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ht="33.75" customHeight="1">
      <c r="A221" s="4"/>
      <c r="B221" s="5"/>
      <c r="C221" s="4"/>
      <c r="D221" s="4"/>
      <c r="E221" s="4"/>
      <c r="F221" s="4"/>
      <c r="G221" s="4"/>
      <c r="H221" s="4"/>
      <c r="I221" s="4"/>
      <c r="J221" s="4"/>
      <c r="K221" s="4"/>
      <c r="L221" s="4"/>
      <c r="M221" s="4"/>
      <c r="N221" s="4"/>
      <c r="O221" s="4"/>
      <c r="P221" s="4"/>
      <c r="Q221" s="4"/>
      <c r="R221" s="4"/>
      <c r="S221" s="4"/>
      <c r="T221" s="4"/>
      <c r="U221" s="4"/>
      <c r="V221" s="4"/>
      <c r="W221" s="4"/>
      <c r="X221" s="4"/>
      <c r="Y221" s="4"/>
    </row>
    <row r="222" spans="1:25" ht="33.75" customHeight="1">
      <c r="A222" s="4"/>
      <c r="B222" s="5"/>
      <c r="C222" s="4"/>
      <c r="D222" s="4"/>
      <c r="E222" s="4"/>
      <c r="F222" s="4"/>
      <c r="G222" s="4"/>
      <c r="H222" s="4"/>
      <c r="I222" s="4"/>
      <c r="J222" s="4"/>
      <c r="K222" s="4"/>
      <c r="L222" s="4"/>
      <c r="M222" s="4"/>
      <c r="N222" s="4"/>
      <c r="O222" s="4"/>
      <c r="P222" s="4"/>
      <c r="Q222" s="4"/>
      <c r="R222" s="4"/>
      <c r="S222" s="4"/>
      <c r="T222" s="4"/>
      <c r="U222" s="4"/>
      <c r="V222" s="4"/>
      <c r="W222" s="4"/>
      <c r="X222" s="4"/>
      <c r="Y222" s="4"/>
    </row>
    <row r="223" spans="1:25" ht="33.75" customHeight="1">
      <c r="A223" s="4"/>
      <c r="B223" s="5"/>
      <c r="C223" s="4"/>
      <c r="D223" s="4"/>
      <c r="E223" s="4"/>
      <c r="F223" s="4"/>
      <c r="G223" s="4"/>
      <c r="H223" s="4"/>
      <c r="I223" s="4"/>
      <c r="J223" s="4"/>
      <c r="K223" s="4"/>
      <c r="L223" s="4"/>
      <c r="M223" s="4"/>
      <c r="N223" s="4"/>
      <c r="O223" s="4"/>
      <c r="P223" s="4"/>
      <c r="Q223" s="4"/>
      <c r="R223" s="4"/>
      <c r="S223" s="4"/>
      <c r="T223" s="4"/>
      <c r="U223" s="4"/>
      <c r="V223" s="4"/>
      <c r="W223" s="4"/>
      <c r="X223" s="4"/>
      <c r="Y223" s="4"/>
    </row>
    <row r="224" spans="1:25" ht="33.75" customHeight="1">
      <c r="A224" s="4"/>
      <c r="B224" s="5"/>
      <c r="C224" s="4"/>
      <c r="D224" s="4"/>
      <c r="E224" s="4"/>
      <c r="F224" s="4"/>
      <c r="G224" s="4"/>
      <c r="H224" s="4"/>
      <c r="I224" s="4"/>
      <c r="J224" s="4"/>
      <c r="K224" s="4"/>
      <c r="L224" s="4"/>
      <c r="M224" s="4"/>
      <c r="N224" s="4"/>
      <c r="O224" s="4"/>
      <c r="P224" s="4"/>
      <c r="Q224" s="4"/>
      <c r="R224" s="4"/>
      <c r="S224" s="4"/>
      <c r="T224" s="4"/>
      <c r="U224" s="4"/>
      <c r="V224" s="4"/>
      <c r="W224" s="4"/>
      <c r="X224" s="4"/>
      <c r="Y224" s="4"/>
    </row>
    <row r="225" spans="2:2" ht="15.75" customHeight="1">
      <c r="B225" s="22"/>
    </row>
    <row r="226" spans="2:2" ht="15.75" customHeight="1">
      <c r="B226" s="22"/>
    </row>
    <row r="227" spans="2:2" ht="15.75" customHeight="1">
      <c r="B227" s="22"/>
    </row>
    <row r="228" spans="2:2" ht="15.75" customHeight="1">
      <c r="B228" s="22"/>
    </row>
    <row r="229" spans="2:2" ht="15.75" customHeight="1">
      <c r="B229" s="22"/>
    </row>
    <row r="230" spans="2:2" ht="15.75" customHeight="1">
      <c r="B230" s="22"/>
    </row>
    <row r="231" spans="2:2" ht="15.75" customHeight="1">
      <c r="B231" s="22"/>
    </row>
    <row r="232" spans="2:2" ht="15.75" customHeight="1">
      <c r="B232" s="22"/>
    </row>
    <row r="233" spans="2:2" ht="15.75" customHeight="1">
      <c r="B233" s="22"/>
    </row>
    <row r="234" spans="2:2" ht="15.75" customHeight="1">
      <c r="B234" s="22"/>
    </row>
    <row r="235" spans="2:2" ht="15.75" customHeight="1">
      <c r="B235" s="22"/>
    </row>
    <row r="236" spans="2:2" ht="15.75" customHeight="1">
      <c r="B236" s="22"/>
    </row>
    <row r="237" spans="2:2" ht="15.75" customHeight="1">
      <c r="B237" s="22"/>
    </row>
    <row r="238" spans="2:2" ht="15.75" customHeight="1">
      <c r="B238" s="22"/>
    </row>
    <row r="239" spans="2:2" ht="15.75" customHeight="1">
      <c r="B239" s="22"/>
    </row>
    <row r="240" spans="2:2" ht="15.75" customHeight="1">
      <c r="B240" s="22"/>
    </row>
    <row r="241" spans="2:2" ht="15.75" customHeight="1">
      <c r="B241" s="22"/>
    </row>
    <row r="242" spans="2:2" ht="15.75" customHeight="1">
      <c r="B242" s="22"/>
    </row>
    <row r="243" spans="2:2" ht="15.75" customHeight="1">
      <c r="B243" s="22"/>
    </row>
    <row r="244" spans="2:2" ht="15.75" customHeight="1">
      <c r="B244" s="22"/>
    </row>
    <row r="245" spans="2:2" ht="15.75" customHeight="1">
      <c r="B245" s="22"/>
    </row>
    <row r="246" spans="2:2" ht="15.75" customHeight="1">
      <c r="B246" s="22"/>
    </row>
    <row r="247" spans="2:2" ht="15.75" customHeight="1">
      <c r="B247" s="22"/>
    </row>
    <row r="248" spans="2:2" ht="15.75" customHeight="1">
      <c r="B248" s="22"/>
    </row>
    <row r="249" spans="2:2" ht="15.75" customHeight="1">
      <c r="B249" s="22"/>
    </row>
    <row r="250" spans="2:2" ht="15.75" customHeight="1">
      <c r="B250" s="22"/>
    </row>
    <row r="251" spans="2:2" ht="15.75" customHeight="1">
      <c r="B251" s="22"/>
    </row>
    <row r="252" spans="2:2" ht="15.75" customHeight="1">
      <c r="B252" s="22"/>
    </row>
    <row r="253" spans="2:2" ht="15.75" customHeight="1">
      <c r="B253" s="22"/>
    </row>
    <row r="254" spans="2:2" ht="15.75" customHeight="1">
      <c r="B254" s="22"/>
    </row>
    <row r="255" spans="2:2" ht="15.75" customHeight="1">
      <c r="B255" s="22"/>
    </row>
    <row r="256" spans="2:2" ht="15.75" customHeight="1">
      <c r="B256" s="22"/>
    </row>
    <row r="257" spans="2:2" ht="15.75" customHeight="1">
      <c r="B257" s="22"/>
    </row>
    <row r="258" spans="2:2" ht="15.75" customHeight="1">
      <c r="B258" s="22"/>
    </row>
    <row r="259" spans="2:2" ht="15.75" customHeight="1">
      <c r="B259" s="22"/>
    </row>
    <row r="260" spans="2:2" ht="15.75" customHeight="1">
      <c r="B260" s="22"/>
    </row>
    <row r="261" spans="2:2" ht="15.75" customHeight="1">
      <c r="B261" s="22"/>
    </row>
    <row r="262" spans="2:2" ht="15.75" customHeight="1">
      <c r="B262" s="22"/>
    </row>
    <row r="263" spans="2:2" ht="15.75" customHeight="1">
      <c r="B263" s="22"/>
    </row>
    <row r="264" spans="2:2" ht="15.75" customHeight="1">
      <c r="B264" s="22"/>
    </row>
    <row r="265" spans="2:2" ht="15.75" customHeight="1">
      <c r="B265" s="22"/>
    </row>
    <row r="266" spans="2:2" ht="15.75" customHeight="1">
      <c r="B266" s="22"/>
    </row>
    <row r="267" spans="2:2" ht="15.75" customHeight="1">
      <c r="B267" s="22"/>
    </row>
    <row r="268" spans="2:2" ht="15.75" customHeight="1">
      <c r="B268" s="22"/>
    </row>
    <row r="269" spans="2:2" ht="15.75" customHeight="1">
      <c r="B269" s="22"/>
    </row>
    <row r="270" spans="2:2" ht="15.75" customHeight="1">
      <c r="B270" s="22"/>
    </row>
    <row r="271" spans="2:2" ht="15.75" customHeight="1">
      <c r="B271" s="22"/>
    </row>
    <row r="272" spans="2:2" ht="15.75" customHeight="1">
      <c r="B272" s="22"/>
    </row>
    <row r="273" spans="2:2" ht="15.75" customHeight="1">
      <c r="B273" s="22"/>
    </row>
    <row r="274" spans="2:2" ht="15.75" customHeight="1">
      <c r="B274" s="22"/>
    </row>
    <row r="275" spans="2:2" ht="15.75" customHeight="1">
      <c r="B275" s="22"/>
    </row>
    <row r="276" spans="2:2" ht="15.75" customHeight="1">
      <c r="B276" s="22"/>
    </row>
    <row r="277" spans="2:2" ht="15.75" customHeight="1">
      <c r="B277" s="22"/>
    </row>
    <row r="278" spans="2:2" ht="15.75" customHeight="1">
      <c r="B278" s="22"/>
    </row>
    <row r="279" spans="2:2" ht="15.75" customHeight="1">
      <c r="B279" s="22"/>
    </row>
    <row r="280" spans="2:2" ht="15.75" customHeight="1">
      <c r="B280" s="22"/>
    </row>
    <row r="281" spans="2:2" ht="15.75" customHeight="1">
      <c r="B281" s="22"/>
    </row>
    <row r="282" spans="2:2" ht="15.75" customHeight="1">
      <c r="B282" s="22"/>
    </row>
    <row r="283" spans="2:2" ht="15.75" customHeight="1">
      <c r="B283" s="22"/>
    </row>
    <row r="284" spans="2:2" ht="15.75" customHeight="1">
      <c r="B284" s="22"/>
    </row>
    <row r="285" spans="2:2" ht="15.75" customHeight="1">
      <c r="B285" s="22"/>
    </row>
    <row r="286" spans="2:2" ht="15.75" customHeight="1">
      <c r="B286" s="22"/>
    </row>
    <row r="287" spans="2:2" ht="15.75" customHeight="1">
      <c r="B287" s="22"/>
    </row>
    <row r="288" spans="2:2" ht="15.75" customHeight="1">
      <c r="B288" s="22"/>
    </row>
    <row r="289" spans="2:2" ht="15.75" customHeight="1">
      <c r="B289" s="22"/>
    </row>
    <row r="290" spans="2:2" ht="15.75" customHeight="1">
      <c r="B290" s="22"/>
    </row>
    <row r="291" spans="2:2" ht="15.75" customHeight="1">
      <c r="B291" s="22"/>
    </row>
    <row r="292" spans="2:2" ht="15.75" customHeight="1">
      <c r="B292" s="22"/>
    </row>
    <row r="293" spans="2:2" ht="15.75" customHeight="1">
      <c r="B293" s="22"/>
    </row>
    <row r="294" spans="2:2" ht="15.75" customHeight="1">
      <c r="B294" s="22"/>
    </row>
    <row r="295" spans="2:2" ht="15.75" customHeight="1">
      <c r="B295" s="22"/>
    </row>
    <row r="296" spans="2:2" ht="15.75" customHeight="1">
      <c r="B296" s="22"/>
    </row>
    <row r="297" spans="2:2" ht="15.75" customHeight="1">
      <c r="B297" s="22"/>
    </row>
    <row r="298" spans="2:2" ht="15.75" customHeight="1">
      <c r="B298" s="22"/>
    </row>
    <row r="299" spans="2:2" ht="15.75" customHeight="1">
      <c r="B299" s="22"/>
    </row>
    <row r="300" spans="2:2" ht="15.75" customHeight="1">
      <c r="B300" s="22"/>
    </row>
    <row r="301" spans="2:2" ht="15.75" customHeight="1">
      <c r="B301" s="22"/>
    </row>
    <row r="302" spans="2:2" ht="15.75" customHeight="1">
      <c r="B302" s="22"/>
    </row>
    <row r="303" spans="2:2" ht="15.75" customHeight="1">
      <c r="B303" s="22"/>
    </row>
    <row r="304" spans="2:2" ht="15.75" customHeight="1">
      <c r="B304" s="22"/>
    </row>
    <row r="305" spans="2:2" ht="15.75" customHeight="1">
      <c r="B305" s="22"/>
    </row>
    <row r="306" spans="2:2" ht="15.75" customHeight="1">
      <c r="B306" s="22"/>
    </row>
    <row r="307" spans="2:2" ht="15.75" customHeight="1">
      <c r="B307" s="22"/>
    </row>
    <row r="308" spans="2:2" ht="15.75" customHeight="1">
      <c r="B308" s="22"/>
    </row>
    <row r="309" spans="2:2" ht="15.75" customHeight="1">
      <c r="B309" s="22"/>
    </row>
    <row r="310" spans="2:2" ht="15.75" customHeight="1">
      <c r="B310" s="22"/>
    </row>
    <row r="311" spans="2:2" ht="15.75" customHeight="1">
      <c r="B311" s="22"/>
    </row>
    <row r="312" spans="2:2" ht="15.75" customHeight="1">
      <c r="B312" s="22"/>
    </row>
    <row r="313" spans="2:2" ht="15.75" customHeight="1">
      <c r="B313" s="22"/>
    </row>
    <row r="314" spans="2:2" ht="15.75" customHeight="1">
      <c r="B314" s="22"/>
    </row>
    <row r="315" spans="2:2" ht="15.75" customHeight="1">
      <c r="B315" s="22"/>
    </row>
    <row r="316" spans="2:2" ht="15.75" customHeight="1">
      <c r="B316" s="22"/>
    </row>
    <row r="317" spans="2:2" ht="15.75" customHeight="1">
      <c r="B317" s="22"/>
    </row>
    <row r="318" spans="2:2" ht="15.75" customHeight="1">
      <c r="B318" s="22"/>
    </row>
    <row r="319" spans="2:2" ht="15.75" customHeight="1">
      <c r="B319" s="22"/>
    </row>
    <row r="320" spans="2:2" ht="15.75" customHeight="1">
      <c r="B320" s="22"/>
    </row>
    <row r="321" spans="2:2" ht="15.75" customHeight="1">
      <c r="B321" s="22"/>
    </row>
    <row r="322" spans="2:2" ht="15.75" customHeight="1">
      <c r="B322" s="22"/>
    </row>
    <row r="323" spans="2:2" ht="15.75" customHeight="1">
      <c r="B323" s="22"/>
    </row>
    <row r="324" spans="2:2" ht="15.75" customHeight="1">
      <c r="B324" s="22"/>
    </row>
    <row r="325" spans="2:2" ht="15.75" customHeight="1">
      <c r="B325" s="22"/>
    </row>
    <row r="326" spans="2:2" ht="15.75" customHeight="1">
      <c r="B326" s="22"/>
    </row>
    <row r="327" spans="2:2" ht="15.75" customHeight="1">
      <c r="B327" s="22"/>
    </row>
    <row r="328" spans="2:2" ht="15.75" customHeight="1">
      <c r="B328" s="22"/>
    </row>
    <row r="329" spans="2:2" ht="15.75" customHeight="1">
      <c r="B329" s="22"/>
    </row>
    <row r="330" spans="2:2" ht="15.75" customHeight="1">
      <c r="B330" s="22"/>
    </row>
    <row r="331" spans="2:2" ht="15.75" customHeight="1">
      <c r="B331" s="22"/>
    </row>
    <row r="332" spans="2:2" ht="15.75" customHeight="1">
      <c r="B332" s="22"/>
    </row>
    <row r="333" spans="2:2" ht="15.75" customHeight="1">
      <c r="B333" s="22"/>
    </row>
    <row r="334" spans="2:2" ht="15.75" customHeight="1">
      <c r="B334" s="22"/>
    </row>
    <row r="335" spans="2:2" ht="15.75" customHeight="1">
      <c r="B335" s="22"/>
    </row>
    <row r="336" spans="2:2" ht="15.75" customHeight="1">
      <c r="B336" s="22"/>
    </row>
    <row r="337" spans="2:2" ht="15.75" customHeight="1">
      <c r="B337" s="22"/>
    </row>
    <row r="338" spans="2:2" ht="15.75" customHeight="1">
      <c r="B338" s="22"/>
    </row>
    <row r="339" spans="2:2" ht="15.75" customHeight="1">
      <c r="B339" s="22"/>
    </row>
    <row r="340" spans="2:2" ht="15.75" customHeight="1">
      <c r="B340" s="22"/>
    </row>
    <row r="341" spans="2:2" ht="15.75" customHeight="1">
      <c r="B341" s="22"/>
    </row>
    <row r="342" spans="2:2" ht="15.75" customHeight="1">
      <c r="B342" s="22"/>
    </row>
    <row r="343" spans="2:2" ht="15.75" customHeight="1">
      <c r="B343" s="22"/>
    </row>
    <row r="344" spans="2:2" ht="15.75" customHeight="1">
      <c r="B344" s="22"/>
    </row>
    <row r="345" spans="2:2" ht="15.75" customHeight="1">
      <c r="B345" s="22"/>
    </row>
    <row r="346" spans="2:2" ht="15.75" customHeight="1">
      <c r="B346" s="22"/>
    </row>
    <row r="347" spans="2:2" ht="15.75" customHeight="1">
      <c r="B347" s="22"/>
    </row>
    <row r="348" spans="2:2" ht="15.75" customHeight="1">
      <c r="B348" s="22"/>
    </row>
    <row r="349" spans="2:2" ht="15.75" customHeight="1">
      <c r="B349" s="22"/>
    </row>
    <row r="350" spans="2:2" ht="15.75" customHeight="1">
      <c r="B350" s="22"/>
    </row>
    <row r="351" spans="2:2" ht="15.75" customHeight="1">
      <c r="B351" s="22"/>
    </row>
    <row r="352" spans="2:2" ht="15.75" customHeight="1">
      <c r="B352" s="22"/>
    </row>
    <row r="353" spans="2:2" ht="15.75" customHeight="1">
      <c r="B353" s="22"/>
    </row>
    <row r="354" spans="2:2" ht="15.75" customHeight="1">
      <c r="B354" s="22"/>
    </row>
    <row r="355" spans="2:2" ht="15.75" customHeight="1">
      <c r="B355" s="22"/>
    </row>
    <row r="356" spans="2:2" ht="15.75" customHeight="1">
      <c r="B356" s="22"/>
    </row>
    <row r="357" spans="2:2" ht="15.75" customHeight="1">
      <c r="B357" s="22"/>
    </row>
    <row r="358" spans="2:2" ht="15.75" customHeight="1">
      <c r="B358" s="22"/>
    </row>
    <row r="359" spans="2:2" ht="15.75" customHeight="1">
      <c r="B359" s="22"/>
    </row>
    <row r="360" spans="2:2" ht="15.75" customHeight="1">
      <c r="B360" s="22"/>
    </row>
    <row r="361" spans="2:2" ht="15.75" customHeight="1">
      <c r="B361" s="22"/>
    </row>
    <row r="362" spans="2:2" ht="15.75" customHeight="1">
      <c r="B362" s="22"/>
    </row>
    <row r="363" spans="2:2" ht="15.75" customHeight="1">
      <c r="B363" s="22"/>
    </row>
    <row r="364" spans="2:2" ht="15.75" customHeight="1">
      <c r="B364" s="22"/>
    </row>
    <row r="365" spans="2:2" ht="15.75" customHeight="1">
      <c r="B365" s="22"/>
    </row>
    <row r="366" spans="2:2" ht="15.75" customHeight="1">
      <c r="B366" s="22"/>
    </row>
    <row r="367" spans="2:2" ht="15.75" customHeight="1">
      <c r="B367" s="22"/>
    </row>
    <row r="368" spans="2:2" ht="15.75" customHeight="1">
      <c r="B368" s="22"/>
    </row>
    <row r="369" spans="2:2" ht="15.75" customHeight="1">
      <c r="B369" s="22"/>
    </row>
    <row r="370" spans="2:2" ht="15.75" customHeight="1">
      <c r="B370" s="22"/>
    </row>
    <row r="371" spans="2:2" ht="15.75" customHeight="1">
      <c r="B371" s="22"/>
    </row>
    <row r="372" spans="2:2" ht="15.75" customHeight="1">
      <c r="B372" s="22"/>
    </row>
    <row r="373" spans="2:2" ht="15.75" customHeight="1">
      <c r="B373" s="22"/>
    </row>
    <row r="374" spans="2:2" ht="15.75" customHeight="1">
      <c r="B374" s="22"/>
    </row>
    <row r="375" spans="2:2" ht="15.75" customHeight="1">
      <c r="B375" s="22"/>
    </row>
    <row r="376" spans="2:2" ht="15.75" customHeight="1">
      <c r="B376" s="22"/>
    </row>
    <row r="377" spans="2:2" ht="15.75" customHeight="1">
      <c r="B377" s="22"/>
    </row>
    <row r="378" spans="2:2" ht="15.75" customHeight="1">
      <c r="B378" s="22"/>
    </row>
    <row r="379" spans="2:2" ht="15.75" customHeight="1">
      <c r="B379" s="22"/>
    </row>
    <row r="380" spans="2:2" ht="15.75" customHeight="1">
      <c r="B380" s="22"/>
    </row>
    <row r="381" spans="2:2" ht="15.75" customHeight="1">
      <c r="B381" s="22"/>
    </row>
    <row r="382" spans="2:2" ht="15.75" customHeight="1">
      <c r="B382" s="22"/>
    </row>
    <row r="383" spans="2:2" ht="15.75" customHeight="1">
      <c r="B383" s="22"/>
    </row>
    <row r="384" spans="2:2" ht="15.75" customHeight="1">
      <c r="B384" s="22"/>
    </row>
    <row r="385" spans="2:2" ht="15.75" customHeight="1">
      <c r="B385" s="22"/>
    </row>
    <row r="386" spans="2:2" ht="15.75" customHeight="1">
      <c r="B386" s="22"/>
    </row>
    <row r="387" spans="2:2" ht="15.75" customHeight="1">
      <c r="B387" s="22"/>
    </row>
    <row r="388" spans="2:2" ht="15.75" customHeight="1">
      <c r="B388" s="22"/>
    </row>
    <row r="389" spans="2:2" ht="15.75" customHeight="1">
      <c r="B389" s="22"/>
    </row>
    <row r="390" spans="2:2" ht="15.75" customHeight="1">
      <c r="B390" s="22"/>
    </row>
    <row r="391" spans="2:2" ht="15.75" customHeight="1">
      <c r="B391" s="22"/>
    </row>
    <row r="392" spans="2:2" ht="15.75" customHeight="1">
      <c r="B392" s="22"/>
    </row>
    <row r="393" spans="2:2" ht="15.75" customHeight="1">
      <c r="B393" s="22"/>
    </row>
    <row r="394" spans="2:2" ht="15.75" customHeight="1">
      <c r="B394" s="22"/>
    </row>
    <row r="395" spans="2:2" ht="15.75" customHeight="1">
      <c r="B395" s="22"/>
    </row>
    <row r="396" spans="2:2" ht="15.75" customHeight="1">
      <c r="B396" s="22"/>
    </row>
    <row r="397" spans="2:2" ht="15.75" customHeight="1">
      <c r="B397" s="22"/>
    </row>
    <row r="398" spans="2:2" ht="15.75" customHeight="1">
      <c r="B398" s="22"/>
    </row>
    <row r="399" spans="2:2" ht="15.75" customHeight="1">
      <c r="B399" s="22"/>
    </row>
    <row r="400" spans="2:2" ht="15.75" customHeight="1">
      <c r="B400" s="22"/>
    </row>
    <row r="401" spans="2:2" ht="15.75" customHeight="1">
      <c r="B401" s="22"/>
    </row>
    <row r="402" spans="2:2" ht="15.75" customHeight="1">
      <c r="B402" s="22"/>
    </row>
    <row r="403" spans="2:2" ht="15.75" customHeight="1">
      <c r="B403" s="22"/>
    </row>
    <row r="404" spans="2:2" ht="15.75" customHeight="1">
      <c r="B404" s="22"/>
    </row>
    <row r="405" spans="2:2" ht="15.75" customHeight="1">
      <c r="B405" s="22"/>
    </row>
    <row r="406" spans="2:2" ht="15.75" customHeight="1">
      <c r="B406" s="22"/>
    </row>
    <row r="407" spans="2:2" ht="15.75" customHeight="1">
      <c r="B407" s="22"/>
    </row>
    <row r="408" spans="2:2" ht="15.75" customHeight="1">
      <c r="B408" s="22"/>
    </row>
    <row r="409" spans="2:2" ht="15.75" customHeight="1">
      <c r="B409" s="22"/>
    </row>
    <row r="410" spans="2:2" ht="15.75" customHeight="1">
      <c r="B410" s="22"/>
    </row>
    <row r="411" spans="2:2" ht="15.75" customHeight="1">
      <c r="B411" s="22"/>
    </row>
    <row r="412" spans="2:2" ht="15.75" customHeight="1">
      <c r="B412" s="22"/>
    </row>
    <row r="413" spans="2:2" ht="15.75" customHeight="1">
      <c r="B413" s="22"/>
    </row>
    <row r="414" spans="2:2" ht="15.75" customHeight="1">
      <c r="B414" s="22"/>
    </row>
    <row r="415" spans="2:2" ht="15.75" customHeight="1">
      <c r="B415" s="22"/>
    </row>
    <row r="416" spans="2:2" ht="15.75" customHeight="1">
      <c r="B416" s="22"/>
    </row>
    <row r="417" spans="2:2" ht="15.75" customHeight="1">
      <c r="B417" s="22"/>
    </row>
    <row r="418" spans="2:2" ht="15.75" customHeight="1">
      <c r="B418" s="22"/>
    </row>
    <row r="419" spans="2:2" ht="15.75" customHeight="1">
      <c r="B419" s="22"/>
    </row>
    <row r="420" spans="2:2" ht="15.75" customHeight="1">
      <c r="B420" s="22"/>
    </row>
    <row r="421" spans="2:2" ht="15.75" customHeight="1">
      <c r="B421" s="22"/>
    </row>
    <row r="422" spans="2:2" ht="15.75" customHeight="1">
      <c r="B422" s="22"/>
    </row>
    <row r="423" spans="2:2" ht="15.75" customHeight="1">
      <c r="B423" s="22"/>
    </row>
    <row r="424" spans="2:2" ht="15.75" customHeight="1">
      <c r="B424" s="22"/>
    </row>
    <row r="425" spans="2:2" ht="15.75" customHeight="1">
      <c r="B425" s="22"/>
    </row>
    <row r="426" spans="2:2" ht="15.75" customHeight="1">
      <c r="B426" s="22"/>
    </row>
    <row r="427" spans="2:2" ht="15.75" customHeight="1">
      <c r="B427" s="22"/>
    </row>
    <row r="428" spans="2:2" ht="15.75" customHeight="1">
      <c r="B428" s="22"/>
    </row>
    <row r="429" spans="2:2" ht="15.75" customHeight="1">
      <c r="B429" s="22"/>
    </row>
    <row r="430" spans="2:2" ht="15.75" customHeight="1">
      <c r="B430" s="22"/>
    </row>
    <row r="431" spans="2:2" ht="15.75" customHeight="1">
      <c r="B431" s="22"/>
    </row>
    <row r="432" spans="2:2" ht="15.75" customHeight="1">
      <c r="B432" s="22"/>
    </row>
    <row r="433" spans="2:2" ht="15.75" customHeight="1">
      <c r="B433" s="22"/>
    </row>
    <row r="434" spans="2:2" ht="15.75" customHeight="1">
      <c r="B434" s="22"/>
    </row>
    <row r="435" spans="2:2" ht="15.75" customHeight="1">
      <c r="B435" s="22"/>
    </row>
    <row r="436" spans="2:2" ht="15.75" customHeight="1">
      <c r="B436" s="22"/>
    </row>
    <row r="437" spans="2:2" ht="15.75" customHeight="1">
      <c r="B437" s="22"/>
    </row>
    <row r="438" spans="2:2" ht="15.75" customHeight="1">
      <c r="B438" s="22"/>
    </row>
    <row r="439" spans="2:2" ht="15.75" customHeight="1">
      <c r="B439" s="22"/>
    </row>
    <row r="440" spans="2:2" ht="15.75" customHeight="1">
      <c r="B440" s="22"/>
    </row>
    <row r="441" spans="2:2" ht="15.75" customHeight="1">
      <c r="B441" s="22"/>
    </row>
    <row r="442" spans="2:2" ht="15.75" customHeight="1">
      <c r="B442" s="22"/>
    </row>
    <row r="443" spans="2:2" ht="15.75" customHeight="1">
      <c r="B443" s="22"/>
    </row>
    <row r="444" spans="2:2" ht="15.75" customHeight="1">
      <c r="B444" s="22"/>
    </row>
    <row r="445" spans="2:2" ht="15.75" customHeight="1">
      <c r="B445" s="22"/>
    </row>
    <row r="446" spans="2:2" ht="15.75" customHeight="1">
      <c r="B446" s="22"/>
    </row>
    <row r="447" spans="2:2" ht="15.75" customHeight="1">
      <c r="B447" s="22"/>
    </row>
    <row r="448" spans="2:2" ht="15.75" customHeight="1">
      <c r="B448" s="22"/>
    </row>
    <row r="449" spans="2:2" ht="15.75" customHeight="1">
      <c r="B449" s="22"/>
    </row>
    <row r="450" spans="2:2" ht="15.75" customHeight="1">
      <c r="B450" s="22"/>
    </row>
    <row r="451" spans="2:2" ht="15.75" customHeight="1">
      <c r="B451" s="22"/>
    </row>
    <row r="452" spans="2:2" ht="15.75" customHeight="1">
      <c r="B452" s="22"/>
    </row>
    <row r="453" spans="2:2" ht="15.75" customHeight="1">
      <c r="B453" s="22"/>
    </row>
    <row r="454" spans="2:2" ht="15.75" customHeight="1">
      <c r="B454" s="22"/>
    </row>
    <row r="455" spans="2:2" ht="15.75" customHeight="1">
      <c r="B455" s="22"/>
    </row>
    <row r="456" spans="2:2" ht="15.75" customHeight="1">
      <c r="B456" s="22"/>
    </row>
    <row r="457" spans="2:2" ht="15.75" customHeight="1">
      <c r="B457" s="22"/>
    </row>
    <row r="458" spans="2:2" ht="15.75" customHeight="1">
      <c r="B458" s="22"/>
    </row>
    <row r="459" spans="2:2" ht="15.75" customHeight="1">
      <c r="B459" s="22"/>
    </row>
    <row r="460" spans="2:2" ht="15.75" customHeight="1">
      <c r="B460" s="22"/>
    </row>
    <row r="461" spans="2:2" ht="15.75" customHeight="1">
      <c r="B461" s="22"/>
    </row>
    <row r="462" spans="2:2" ht="15.75" customHeight="1">
      <c r="B462" s="22"/>
    </row>
    <row r="463" spans="2:2" ht="15.75" customHeight="1">
      <c r="B463" s="22"/>
    </row>
    <row r="464" spans="2:2" ht="15.75" customHeight="1">
      <c r="B464" s="22"/>
    </row>
    <row r="465" spans="2:2" ht="15.75" customHeight="1">
      <c r="B465" s="22"/>
    </row>
    <row r="466" spans="2:2" ht="15.75" customHeight="1">
      <c r="B466" s="22"/>
    </row>
    <row r="467" spans="2:2" ht="15.75" customHeight="1">
      <c r="B467" s="22"/>
    </row>
    <row r="468" spans="2:2" ht="15.75" customHeight="1">
      <c r="B468" s="22"/>
    </row>
    <row r="469" spans="2:2" ht="15.75" customHeight="1">
      <c r="B469" s="22"/>
    </row>
    <row r="470" spans="2:2" ht="15.75" customHeight="1">
      <c r="B470" s="22"/>
    </row>
    <row r="471" spans="2:2" ht="15.75" customHeight="1">
      <c r="B471" s="22"/>
    </row>
    <row r="472" spans="2:2" ht="15.75" customHeight="1">
      <c r="B472" s="22"/>
    </row>
    <row r="473" spans="2:2" ht="15.75" customHeight="1">
      <c r="B473" s="22"/>
    </row>
    <row r="474" spans="2:2" ht="15.75" customHeight="1">
      <c r="B474" s="22"/>
    </row>
    <row r="475" spans="2:2" ht="15.75" customHeight="1">
      <c r="B475" s="22"/>
    </row>
    <row r="476" spans="2:2" ht="15.75" customHeight="1">
      <c r="B476" s="22"/>
    </row>
    <row r="477" spans="2:2" ht="15.75" customHeight="1">
      <c r="B477" s="22"/>
    </row>
    <row r="478" spans="2:2" ht="15.75" customHeight="1">
      <c r="B478" s="22"/>
    </row>
    <row r="479" spans="2:2" ht="15.75" customHeight="1">
      <c r="B479" s="22"/>
    </row>
    <row r="480" spans="2:2" ht="15.75" customHeight="1">
      <c r="B480" s="22"/>
    </row>
    <row r="481" spans="2:2" ht="15.75" customHeight="1">
      <c r="B481" s="22"/>
    </row>
    <row r="482" spans="2:2" ht="15.75" customHeight="1">
      <c r="B482" s="22"/>
    </row>
    <row r="483" spans="2:2" ht="15.75" customHeight="1">
      <c r="B483" s="22"/>
    </row>
    <row r="484" spans="2:2" ht="15.75" customHeight="1">
      <c r="B484" s="22"/>
    </row>
    <row r="485" spans="2:2" ht="15.75" customHeight="1">
      <c r="B485" s="22"/>
    </row>
    <row r="486" spans="2:2" ht="15.75" customHeight="1">
      <c r="B486" s="22"/>
    </row>
    <row r="487" spans="2:2" ht="15.75" customHeight="1">
      <c r="B487" s="22"/>
    </row>
    <row r="488" spans="2:2" ht="15.75" customHeight="1">
      <c r="B488" s="22"/>
    </row>
    <row r="489" spans="2:2" ht="15.75" customHeight="1">
      <c r="B489" s="22"/>
    </row>
    <row r="490" spans="2:2" ht="15.75" customHeight="1">
      <c r="B490" s="22"/>
    </row>
    <row r="491" spans="2:2" ht="15.75" customHeight="1">
      <c r="B491" s="22"/>
    </row>
    <row r="492" spans="2:2" ht="15.75" customHeight="1">
      <c r="B492" s="22"/>
    </row>
    <row r="493" spans="2:2" ht="15.75" customHeight="1">
      <c r="B493" s="22"/>
    </row>
    <row r="494" spans="2:2" ht="15.75" customHeight="1">
      <c r="B494" s="22"/>
    </row>
    <row r="495" spans="2:2" ht="15.75" customHeight="1">
      <c r="B495" s="22"/>
    </row>
    <row r="496" spans="2:2" ht="15.75" customHeight="1">
      <c r="B496" s="22"/>
    </row>
    <row r="497" spans="2:2" ht="15.75" customHeight="1">
      <c r="B497" s="22"/>
    </row>
    <row r="498" spans="2:2" ht="15.75" customHeight="1">
      <c r="B498" s="22"/>
    </row>
    <row r="499" spans="2:2" ht="15.75" customHeight="1">
      <c r="B499" s="22"/>
    </row>
    <row r="500" spans="2:2" ht="15.75" customHeight="1">
      <c r="B500" s="22"/>
    </row>
    <row r="501" spans="2:2" ht="15.75" customHeight="1">
      <c r="B501" s="22"/>
    </row>
    <row r="502" spans="2:2" ht="15.75" customHeight="1">
      <c r="B502" s="22"/>
    </row>
    <row r="503" spans="2:2" ht="15.75" customHeight="1">
      <c r="B503" s="22"/>
    </row>
    <row r="504" spans="2:2" ht="15.75" customHeight="1">
      <c r="B504" s="22"/>
    </row>
    <row r="505" spans="2:2" ht="15.75" customHeight="1">
      <c r="B505" s="22"/>
    </row>
    <row r="506" spans="2:2" ht="15.75" customHeight="1">
      <c r="B506" s="22"/>
    </row>
    <row r="507" spans="2:2" ht="15.75" customHeight="1">
      <c r="B507" s="22"/>
    </row>
    <row r="508" spans="2:2" ht="15.75" customHeight="1">
      <c r="B508" s="22"/>
    </row>
    <row r="509" spans="2:2" ht="15.75" customHeight="1">
      <c r="B509" s="22"/>
    </row>
    <row r="510" spans="2:2" ht="15.75" customHeight="1">
      <c r="B510" s="22"/>
    </row>
    <row r="511" spans="2:2" ht="15.75" customHeight="1">
      <c r="B511" s="22"/>
    </row>
    <row r="512" spans="2:2" ht="15.75" customHeight="1">
      <c r="B512" s="22"/>
    </row>
    <row r="513" spans="2:2" ht="15.75" customHeight="1">
      <c r="B513" s="22"/>
    </row>
    <row r="514" spans="2:2" ht="15.75" customHeight="1">
      <c r="B514" s="22"/>
    </row>
    <row r="515" spans="2:2" ht="15.75" customHeight="1">
      <c r="B515" s="22"/>
    </row>
    <row r="516" spans="2:2" ht="15.75" customHeight="1">
      <c r="B516" s="22"/>
    </row>
    <row r="517" spans="2:2" ht="15.75" customHeight="1">
      <c r="B517" s="22"/>
    </row>
    <row r="518" spans="2:2" ht="15.75" customHeight="1">
      <c r="B518" s="22"/>
    </row>
    <row r="519" spans="2:2" ht="15.75" customHeight="1">
      <c r="B519" s="22"/>
    </row>
    <row r="520" spans="2:2" ht="15.75" customHeight="1">
      <c r="B520" s="22"/>
    </row>
    <row r="521" spans="2:2" ht="15.75" customHeight="1">
      <c r="B521" s="22"/>
    </row>
    <row r="522" spans="2:2" ht="15.75" customHeight="1">
      <c r="B522" s="22"/>
    </row>
    <row r="523" spans="2:2" ht="15.75" customHeight="1">
      <c r="B523" s="22"/>
    </row>
    <row r="524" spans="2:2" ht="15.75" customHeight="1">
      <c r="B524" s="22"/>
    </row>
    <row r="525" spans="2:2" ht="15.75" customHeight="1">
      <c r="B525" s="22"/>
    </row>
    <row r="526" spans="2:2" ht="15.75" customHeight="1">
      <c r="B526" s="22"/>
    </row>
    <row r="527" spans="2:2" ht="15.75" customHeight="1">
      <c r="B527" s="22"/>
    </row>
    <row r="528" spans="2:2" ht="15.75" customHeight="1">
      <c r="B528" s="22"/>
    </row>
    <row r="529" spans="2:2" ht="15.75" customHeight="1">
      <c r="B529" s="22"/>
    </row>
    <row r="530" spans="2:2" ht="15.75" customHeight="1">
      <c r="B530" s="22"/>
    </row>
    <row r="531" spans="2:2" ht="15.75" customHeight="1">
      <c r="B531" s="22"/>
    </row>
    <row r="532" spans="2:2" ht="15.75" customHeight="1">
      <c r="B532" s="22"/>
    </row>
    <row r="533" spans="2:2" ht="15.75" customHeight="1">
      <c r="B533" s="22"/>
    </row>
    <row r="534" spans="2:2" ht="15.75" customHeight="1">
      <c r="B534" s="22"/>
    </row>
    <row r="535" spans="2:2" ht="15.75" customHeight="1">
      <c r="B535" s="22"/>
    </row>
    <row r="536" spans="2:2" ht="15.75" customHeight="1">
      <c r="B536" s="22"/>
    </row>
    <row r="537" spans="2:2" ht="15.75" customHeight="1">
      <c r="B537" s="22"/>
    </row>
    <row r="538" spans="2:2" ht="15.75" customHeight="1">
      <c r="B538" s="22"/>
    </row>
    <row r="539" spans="2:2" ht="15.75" customHeight="1">
      <c r="B539" s="22"/>
    </row>
    <row r="540" spans="2:2" ht="15.75" customHeight="1">
      <c r="B540" s="22"/>
    </row>
    <row r="541" spans="2:2" ht="15.75" customHeight="1">
      <c r="B541" s="22"/>
    </row>
    <row r="542" spans="2:2" ht="15.75" customHeight="1">
      <c r="B542" s="22"/>
    </row>
    <row r="543" spans="2:2" ht="15.75" customHeight="1">
      <c r="B543" s="22"/>
    </row>
    <row r="544" spans="2:2" ht="15.75" customHeight="1">
      <c r="B544" s="22"/>
    </row>
    <row r="545" spans="2:2" ht="15.75" customHeight="1">
      <c r="B545" s="22"/>
    </row>
    <row r="546" spans="2:2" ht="15.75" customHeight="1">
      <c r="B546" s="22"/>
    </row>
    <row r="547" spans="2:2" ht="15.75" customHeight="1">
      <c r="B547" s="22"/>
    </row>
    <row r="548" spans="2:2" ht="15.75" customHeight="1">
      <c r="B548" s="22"/>
    </row>
    <row r="549" spans="2:2" ht="15.75" customHeight="1">
      <c r="B549" s="22"/>
    </row>
    <row r="550" spans="2:2" ht="15.75" customHeight="1">
      <c r="B550" s="22"/>
    </row>
    <row r="551" spans="2:2" ht="15.75" customHeight="1">
      <c r="B551" s="22"/>
    </row>
    <row r="552" spans="2:2" ht="15.75" customHeight="1">
      <c r="B552" s="22"/>
    </row>
    <row r="553" spans="2:2" ht="15.75" customHeight="1">
      <c r="B553" s="22"/>
    </row>
    <row r="554" spans="2:2" ht="15.75" customHeight="1">
      <c r="B554" s="22"/>
    </row>
    <row r="555" spans="2:2" ht="15.75" customHeight="1">
      <c r="B555" s="22"/>
    </row>
    <row r="556" spans="2:2" ht="15.75" customHeight="1">
      <c r="B556" s="22"/>
    </row>
    <row r="557" spans="2:2" ht="15.75" customHeight="1">
      <c r="B557" s="22"/>
    </row>
    <row r="558" spans="2:2" ht="15.75" customHeight="1">
      <c r="B558" s="22"/>
    </row>
    <row r="559" spans="2:2" ht="15.75" customHeight="1">
      <c r="B559" s="22"/>
    </row>
    <row r="560" spans="2:2" ht="15.75" customHeight="1">
      <c r="B560" s="22"/>
    </row>
    <row r="561" spans="2:2" ht="15.75" customHeight="1">
      <c r="B561" s="22"/>
    </row>
    <row r="562" spans="2:2" ht="15.75" customHeight="1">
      <c r="B562" s="22"/>
    </row>
    <row r="563" spans="2:2" ht="15.75" customHeight="1">
      <c r="B563" s="22"/>
    </row>
    <row r="564" spans="2:2" ht="15.75" customHeight="1">
      <c r="B564" s="22"/>
    </row>
    <row r="565" spans="2:2" ht="15.75" customHeight="1">
      <c r="B565" s="22"/>
    </row>
    <row r="566" spans="2:2" ht="15.75" customHeight="1">
      <c r="B566" s="22"/>
    </row>
    <row r="567" spans="2:2" ht="15.75" customHeight="1">
      <c r="B567" s="22"/>
    </row>
    <row r="568" spans="2:2" ht="15.75" customHeight="1">
      <c r="B568" s="22"/>
    </row>
    <row r="569" spans="2:2" ht="15.75" customHeight="1">
      <c r="B569" s="22"/>
    </row>
    <row r="570" spans="2:2" ht="15.75" customHeight="1">
      <c r="B570" s="22"/>
    </row>
    <row r="571" spans="2:2" ht="15.75" customHeight="1">
      <c r="B571" s="22"/>
    </row>
    <row r="572" spans="2:2" ht="15.75" customHeight="1">
      <c r="B572" s="22"/>
    </row>
    <row r="573" spans="2:2" ht="15.75" customHeight="1">
      <c r="B573" s="22"/>
    </row>
    <row r="574" spans="2:2" ht="15.75" customHeight="1">
      <c r="B574" s="22"/>
    </row>
    <row r="575" spans="2:2" ht="15.75" customHeight="1">
      <c r="B575" s="22"/>
    </row>
    <row r="576" spans="2:2" ht="15.75" customHeight="1">
      <c r="B576" s="22"/>
    </row>
    <row r="577" spans="2:2" ht="15.75" customHeight="1">
      <c r="B577" s="22"/>
    </row>
    <row r="578" spans="2:2" ht="15.75" customHeight="1">
      <c r="B578" s="22"/>
    </row>
    <row r="579" spans="2:2" ht="15.75" customHeight="1">
      <c r="B579" s="22"/>
    </row>
    <row r="580" spans="2:2" ht="15.75" customHeight="1">
      <c r="B580" s="22"/>
    </row>
    <row r="581" spans="2:2" ht="15.75" customHeight="1">
      <c r="B581" s="22"/>
    </row>
    <row r="582" spans="2:2" ht="15.75" customHeight="1">
      <c r="B582" s="22"/>
    </row>
    <row r="583" spans="2:2" ht="15.75" customHeight="1">
      <c r="B583" s="22"/>
    </row>
    <row r="584" spans="2:2" ht="15.75" customHeight="1">
      <c r="B584" s="22"/>
    </row>
    <row r="585" spans="2:2" ht="15.75" customHeight="1">
      <c r="B585" s="22"/>
    </row>
    <row r="586" spans="2:2" ht="15.75" customHeight="1">
      <c r="B586" s="22"/>
    </row>
    <row r="587" spans="2:2" ht="15.75" customHeight="1">
      <c r="B587" s="22"/>
    </row>
    <row r="588" spans="2:2" ht="15.75" customHeight="1">
      <c r="B588" s="22"/>
    </row>
    <row r="589" spans="2:2" ht="15.75" customHeight="1">
      <c r="B589" s="22"/>
    </row>
    <row r="590" spans="2:2" ht="15.75" customHeight="1">
      <c r="B590" s="22"/>
    </row>
    <row r="591" spans="2:2" ht="15.75" customHeight="1">
      <c r="B591" s="22"/>
    </row>
    <row r="592" spans="2:2" ht="15.75" customHeight="1">
      <c r="B592" s="22"/>
    </row>
    <row r="593" spans="2:2" ht="15.75" customHeight="1">
      <c r="B593" s="22"/>
    </row>
    <row r="594" spans="2:2" ht="15.75" customHeight="1">
      <c r="B594" s="22"/>
    </row>
    <row r="595" spans="2:2" ht="15.75" customHeight="1">
      <c r="B595" s="22"/>
    </row>
    <row r="596" spans="2:2" ht="15.75" customHeight="1">
      <c r="B596" s="22"/>
    </row>
    <row r="597" spans="2:2" ht="15.75" customHeight="1">
      <c r="B597" s="22"/>
    </row>
    <row r="598" spans="2:2" ht="15.75" customHeight="1">
      <c r="B598" s="22"/>
    </row>
    <row r="599" spans="2:2" ht="15.75" customHeight="1">
      <c r="B599" s="22"/>
    </row>
    <row r="600" spans="2:2" ht="15.75" customHeight="1">
      <c r="B600" s="22"/>
    </row>
    <row r="601" spans="2:2" ht="15.75" customHeight="1">
      <c r="B601" s="22"/>
    </row>
    <row r="602" spans="2:2" ht="15.75" customHeight="1">
      <c r="B602" s="22"/>
    </row>
    <row r="603" spans="2:2" ht="15.75" customHeight="1">
      <c r="B603" s="22"/>
    </row>
    <row r="604" spans="2:2" ht="15.75" customHeight="1">
      <c r="B604" s="22"/>
    </row>
    <row r="605" spans="2:2" ht="15.75" customHeight="1">
      <c r="B605" s="22"/>
    </row>
    <row r="606" spans="2:2" ht="15.75" customHeight="1">
      <c r="B606" s="22"/>
    </row>
    <row r="607" spans="2:2" ht="15.75" customHeight="1">
      <c r="B607" s="22"/>
    </row>
    <row r="608" spans="2:2" ht="15.75" customHeight="1">
      <c r="B608" s="22"/>
    </row>
    <row r="609" spans="2:2" ht="15.75" customHeight="1">
      <c r="B609" s="22"/>
    </row>
    <row r="610" spans="2:2" ht="15.75" customHeight="1">
      <c r="B610" s="22"/>
    </row>
    <row r="611" spans="2:2" ht="15.75" customHeight="1">
      <c r="B611" s="22"/>
    </row>
    <row r="612" spans="2:2" ht="15.75" customHeight="1">
      <c r="B612" s="22"/>
    </row>
    <row r="613" spans="2:2" ht="15.75" customHeight="1">
      <c r="B613" s="22"/>
    </row>
    <row r="614" spans="2:2" ht="15.75" customHeight="1">
      <c r="B614" s="22"/>
    </row>
    <row r="615" spans="2:2" ht="15.75" customHeight="1">
      <c r="B615" s="22"/>
    </row>
    <row r="616" spans="2:2" ht="15.75" customHeight="1">
      <c r="B616" s="22"/>
    </row>
    <row r="617" spans="2:2" ht="15.75" customHeight="1">
      <c r="B617" s="22"/>
    </row>
    <row r="618" spans="2:2" ht="15.75" customHeight="1">
      <c r="B618" s="22"/>
    </row>
    <row r="619" spans="2:2" ht="15.75" customHeight="1">
      <c r="B619" s="22"/>
    </row>
    <row r="620" spans="2:2" ht="15.75" customHeight="1">
      <c r="B620" s="22"/>
    </row>
    <row r="621" spans="2:2" ht="15.75" customHeight="1">
      <c r="B621" s="22"/>
    </row>
    <row r="622" spans="2:2" ht="15.75" customHeight="1">
      <c r="B622" s="22"/>
    </row>
    <row r="623" spans="2:2" ht="15.75" customHeight="1">
      <c r="B623" s="22"/>
    </row>
    <row r="624" spans="2:2" ht="15.75" customHeight="1">
      <c r="B624" s="22"/>
    </row>
    <row r="625" spans="2:2" ht="15.75" customHeight="1">
      <c r="B625" s="22"/>
    </row>
    <row r="626" spans="2:2" ht="15.75" customHeight="1">
      <c r="B626" s="22"/>
    </row>
    <row r="627" spans="2:2" ht="15.75" customHeight="1">
      <c r="B627" s="22"/>
    </row>
    <row r="628" spans="2:2" ht="15.75" customHeight="1">
      <c r="B628" s="22"/>
    </row>
    <row r="629" spans="2:2" ht="15.75" customHeight="1">
      <c r="B629" s="22"/>
    </row>
    <row r="630" spans="2:2" ht="15.75" customHeight="1">
      <c r="B630" s="22"/>
    </row>
    <row r="631" spans="2:2" ht="15.75" customHeight="1">
      <c r="B631" s="22"/>
    </row>
    <row r="632" spans="2:2" ht="15.75" customHeight="1">
      <c r="B632" s="22"/>
    </row>
    <row r="633" spans="2:2" ht="15.75" customHeight="1">
      <c r="B633" s="22"/>
    </row>
    <row r="634" spans="2:2" ht="15.75" customHeight="1">
      <c r="B634" s="22"/>
    </row>
    <row r="635" spans="2:2" ht="15.75" customHeight="1">
      <c r="B635" s="22"/>
    </row>
    <row r="636" spans="2:2" ht="15.75" customHeight="1">
      <c r="B636" s="22"/>
    </row>
    <row r="637" spans="2:2" ht="15.75" customHeight="1">
      <c r="B637" s="22"/>
    </row>
    <row r="638" spans="2:2" ht="15.75" customHeight="1">
      <c r="B638" s="22"/>
    </row>
    <row r="639" spans="2:2" ht="15.75" customHeight="1">
      <c r="B639" s="22"/>
    </row>
    <row r="640" spans="2:2" ht="15.75" customHeight="1">
      <c r="B640" s="22"/>
    </row>
    <row r="641" spans="2:2" ht="15.75" customHeight="1">
      <c r="B641" s="22"/>
    </row>
    <row r="642" spans="2:2" ht="15.75" customHeight="1">
      <c r="B642" s="22"/>
    </row>
    <row r="643" spans="2:2" ht="15.75" customHeight="1">
      <c r="B643" s="22"/>
    </row>
    <row r="644" spans="2:2" ht="15.75" customHeight="1">
      <c r="B644" s="22"/>
    </row>
    <row r="645" spans="2:2" ht="15.75" customHeight="1">
      <c r="B645" s="22"/>
    </row>
    <row r="646" spans="2:2" ht="15.75" customHeight="1">
      <c r="B646" s="22"/>
    </row>
    <row r="647" spans="2:2" ht="15.75" customHeight="1">
      <c r="B647" s="22"/>
    </row>
    <row r="648" spans="2:2" ht="15.75" customHeight="1">
      <c r="B648" s="22"/>
    </row>
    <row r="649" spans="2:2" ht="15.75" customHeight="1">
      <c r="B649" s="22"/>
    </row>
    <row r="650" spans="2:2" ht="15.75" customHeight="1">
      <c r="B650" s="22"/>
    </row>
    <row r="651" spans="2:2" ht="15.75" customHeight="1">
      <c r="B651" s="22"/>
    </row>
    <row r="652" spans="2:2" ht="15.75" customHeight="1">
      <c r="B652" s="22"/>
    </row>
    <row r="653" spans="2:2" ht="15.75" customHeight="1">
      <c r="B653" s="22"/>
    </row>
    <row r="654" spans="2:2" ht="15.75" customHeight="1">
      <c r="B654" s="22"/>
    </row>
    <row r="655" spans="2:2" ht="15.75" customHeight="1">
      <c r="B655" s="22"/>
    </row>
    <row r="656" spans="2:2" ht="15.75" customHeight="1">
      <c r="B656" s="22"/>
    </row>
    <row r="657" spans="2:2" ht="15.75" customHeight="1">
      <c r="B657" s="22"/>
    </row>
    <row r="658" spans="2:2" ht="15.75" customHeight="1">
      <c r="B658" s="22"/>
    </row>
    <row r="659" spans="2:2" ht="15.75" customHeight="1">
      <c r="B659" s="22"/>
    </row>
    <row r="660" spans="2:2" ht="15.75" customHeight="1">
      <c r="B660" s="22"/>
    </row>
    <row r="661" spans="2:2" ht="15.75" customHeight="1">
      <c r="B661" s="22"/>
    </row>
    <row r="662" spans="2:2" ht="15.75" customHeight="1">
      <c r="B662" s="22"/>
    </row>
    <row r="663" spans="2:2" ht="15.75" customHeight="1">
      <c r="B663" s="22"/>
    </row>
    <row r="664" spans="2:2" ht="15.75" customHeight="1">
      <c r="B664" s="22"/>
    </row>
    <row r="665" spans="2:2" ht="15.75" customHeight="1">
      <c r="B665" s="22"/>
    </row>
    <row r="666" spans="2:2" ht="15.75" customHeight="1">
      <c r="B666" s="22"/>
    </row>
    <row r="667" spans="2:2" ht="15.75" customHeight="1">
      <c r="B667" s="22"/>
    </row>
    <row r="668" spans="2:2" ht="15.75" customHeight="1">
      <c r="B668" s="22"/>
    </row>
    <row r="669" spans="2:2" ht="15.75" customHeight="1">
      <c r="B669" s="22"/>
    </row>
    <row r="670" spans="2:2" ht="15.75" customHeight="1">
      <c r="B670" s="22"/>
    </row>
    <row r="671" spans="2:2" ht="15.75" customHeight="1">
      <c r="B671" s="22"/>
    </row>
    <row r="672" spans="2:2" ht="15.75" customHeight="1">
      <c r="B672" s="22"/>
    </row>
    <row r="673" spans="2:2" ht="15.75" customHeight="1">
      <c r="B673" s="22"/>
    </row>
    <row r="674" spans="2:2" ht="15.75" customHeight="1">
      <c r="B674" s="22"/>
    </row>
    <row r="675" spans="2:2" ht="15.75" customHeight="1">
      <c r="B675" s="22"/>
    </row>
    <row r="676" spans="2:2" ht="15.75" customHeight="1">
      <c r="B676" s="22"/>
    </row>
    <row r="677" spans="2:2" ht="15.75" customHeight="1">
      <c r="B677" s="22"/>
    </row>
    <row r="678" spans="2:2" ht="15.75" customHeight="1">
      <c r="B678" s="22"/>
    </row>
    <row r="679" spans="2:2" ht="15.75" customHeight="1">
      <c r="B679" s="22"/>
    </row>
    <row r="680" spans="2:2" ht="15.75" customHeight="1">
      <c r="B680" s="22"/>
    </row>
    <row r="681" spans="2:2" ht="15.75" customHeight="1">
      <c r="B681" s="22"/>
    </row>
    <row r="682" spans="2:2" ht="15.75" customHeight="1">
      <c r="B682" s="22"/>
    </row>
    <row r="683" spans="2:2" ht="15.75" customHeight="1">
      <c r="B683" s="22"/>
    </row>
    <row r="684" spans="2:2" ht="15.75" customHeight="1">
      <c r="B684" s="22"/>
    </row>
    <row r="685" spans="2:2" ht="15.75" customHeight="1">
      <c r="B685" s="22"/>
    </row>
    <row r="686" spans="2:2" ht="15.75" customHeight="1">
      <c r="B686" s="22"/>
    </row>
    <row r="687" spans="2:2" ht="15.75" customHeight="1">
      <c r="B687" s="22"/>
    </row>
    <row r="688" spans="2:2" ht="15.75" customHeight="1">
      <c r="B688" s="22"/>
    </row>
    <row r="689" spans="2:2" ht="15.75" customHeight="1">
      <c r="B689" s="22"/>
    </row>
    <row r="690" spans="2:2" ht="15.75" customHeight="1">
      <c r="B690" s="22"/>
    </row>
    <row r="691" spans="2:2" ht="15.75" customHeight="1">
      <c r="B691" s="22"/>
    </row>
    <row r="692" spans="2:2" ht="15.75" customHeight="1">
      <c r="B692" s="22"/>
    </row>
    <row r="693" spans="2:2" ht="15.75" customHeight="1">
      <c r="B693" s="22"/>
    </row>
    <row r="694" spans="2:2" ht="15.75" customHeight="1">
      <c r="B694" s="22"/>
    </row>
    <row r="695" spans="2:2" ht="15.75" customHeight="1">
      <c r="B695" s="22"/>
    </row>
    <row r="696" spans="2:2" ht="15.75" customHeight="1">
      <c r="B696" s="22"/>
    </row>
    <row r="697" spans="2:2" ht="15.75" customHeight="1">
      <c r="B697" s="22"/>
    </row>
    <row r="698" spans="2:2" ht="15.75" customHeight="1">
      <c r="B698" s="22"/>
    </row>
    <row r="699" spans="2:2" ht="15.75" customHeight="1">
      <c r="B699" s="22"/>
    </row>
    <row r="700" spans="2:2" ht="15.75" customHeight="1">
      <c r="B700" s="22"/>
    </row>
    <row r="701" spans="2:2" ht="15.75" customHeight="1">
      <c r="B701" s="22"/>
    </row>
    <row r="702" spans="2:2" ht="15.75" customHeight="1">
      <c r="B702" s="22"/>
    </row>
    <row r="703" spans="2:2" ht="15.75" customHeight="1">
      <c r="B703" s="22"/>
    </row>
    <row r="704" spans="2:2" ht="15.75" customHeight="1">
      <c r="B704" s="22"/>
    </row>
    <row r="705" spans="2:2" ht="15.75" customHeight="1">
      <c r="B705" s="22"/>
    </row>
    <row r="706" spans="2:2" ht="15.75" customHeight="1">
      <c r="B706" s="22"/>
    </row>
    <row r="707" spans="2:2" ht="15.75" customHeight="1">
      <c r="B707" s="22"/>
    </row>
    <row r="708" spans="2:2" ht="15.75" customHeight="1">
      <c r="B708" s="22"/>
    </row>
    <row r="709" spans="2:2" ht="15.75" customHeight="1">
      <c r="B709" s="22"/>
    </row>
    <row r="710" spans="2:2" ht="15.75" customHeight="1">
      <c r="B710" s="22"/>
    </row>
    <row r="711" spans="2:2" ht="15.75" customHeight="1">
      <c r="B711" s="22"/>
    </row>
    <row r="712" spans="2:2" ht="15.75" customHeight="1">
      <c r="B712" s="22"/>
    </row>
    <row r="713" spans="2:2" ht="15.75" customHeight="1">
      <c r="B713" s="22"/>
    </row>
    <row r="714" spans="2:2" ht="15.75" customHeight="1">
      <c r="B714" s="22"/>
    </row>
    <row r="715" spans="2:2" ht="15.75" customHeight="1">
      <c r="B715" s="22"/>
    </row>
    <row r="716" spans="2:2" ht="15.75" customHeight="1">
      <c r="B716" s="22"/>
    </row>
    <row r="717" spans="2:2" ht="15.75" customHeight="1">
      <c r="B717" s="22"/>
    </row>
    <row r="718" spans="2:2" ht="15.75" customHeight="1">
      <c r="B718" s="22"/>
    </row>
    <row r="719" spans="2:2" ht="15.75" customHeight="1">
      <c r="B719" s="22"/>
    </row>
    <row r="720" spans="2:2" ht="15.75" customHeight="1">
      <c r="B720" s="22"/>
    </row>
    <row r="721" spans="2:2" ht="15.75" customHeight="1">
      <c r="B721" s="22"/>
    </row>
    <row r="722" spans="2:2" ht="15.75" customHeight="1">
      <c r="B722" s="22"/>
    </row>
    <row r="723" spans="2:2" ht="15.75" customHeight="1">
      <c r="B723" s="22"/>
    </row>
    <row r="724" spans="2:2" ht="15.75" customHeight="1">
      <c r="B724" s="22"/>
    </row>
    <row r="725" spans="2:2" ht="15.75" customHeight="1">
      <c r="B725" s="22"/>
    </row>
    <row r="726" spans="2:2" ht="15.75" customHeight="1">
      <c r="B726" s="22"/>
    </row>
    <row r="727" spans="2:2" ht="15.75" customHeight="1">
      <c r="B727" s="22"/>
    </row>
    <row r="728" spans="2:2" ht="15.75" customHeight="1">
      <c r="B728" s="22"/>
    </row>
    <row r="729" spans="2:2" ht="15.75" customHeight="1">
      <c r="B729" s="22"/>
    </row>
    <row r="730" spans="2:2" ht="15.75" customHeight="1">
      <c r="B730" s="22"/>
    </row>
    <row r="731" spans="2:2" ht="15.75" customHeight="1">
      <c r="B731" s="22"/>
    </row>
    <row r="732" spans="2:2" ht="15.75" customHeight="1">
      <c r="B732" s="22"/>
    </row>
    <row r="733" spans="2:2" ht="15.75" customHeight="1">
      <c r="B733" s="22"/>
    </row>
    <row r="734" spans="2:2" ht="15.75" customHeight="1">
      <c r="B734" s="22"/>
    </row>
    <row r="735" spans="2:2" ht="15.75" customHeight="1">
      <c r="B735" s="22"/>
    </row>
    <row r="736" spans="2:2" ht="15.75" customHeight="1">
      <c r="B736" s="22"/>
    </row>
    <row r="737" spans="2:2" ht="15.75" customHeight="1">
      <c r="B737" s="22"/>
    </row>
    <row r="738" spans="2:2" ht="15.75" customHeight="1">
      <c r="B738" s="22"/>
    </row>
    <row r="739" spans="2:2" ht="15.75" customHeight="1">
      <c r="B739" s="22"/>
    </row>
    <row r="740" spans="2:2" ht="15.75" customHeight="1">
      <c r="B740" s="22"/>
    </row>
    <row r="741" spans="2:2" ht="15.75" customHeight="1">
      <c r="B741" s="22"/>
    </row>
    <row r="742" spans="2:2" ht="15.75" customHeight="1">
      <c r="B742" s="22"/>
    </row>
    <row r="743" spans="2:2" ht="15.75" customHeight="1">
      <c r="B743" s="22"/>
    </row>
    <row r="744" spans="2:2" ht="15.75" customHeight="1">
      <c r="B744" s="22"/>
    </row>
    <row r="745" spans="2:2" ht="15.75" customHeight="1">
      <c r="B745" s="22"/>
    </row>
    <row r="746" spans="2:2" ht="15.75" customHeight="1">
      <c r="B746" s="22"/>
    </row>
    <row r="747" spans="2:2" ht="15.75" customHeight="1">
      <c r="B747" s="22"/>
    </row>
    <row r="748" spans="2:2" ht="15.75" customHeight="1">
      <c r="B748" s="22"/>
    </row>
    <row r="749" spans="2:2" ht="15.75" customHeight="1">
      <c r="B749" s="22"/>
    </row>
    <row r="750" spans="2:2" ht="15.75" customHeight="1">
      <c r="B750" s="22"/>
    </row>
    <row r="751" spans="2:2" ht="15.75" customHeight="1">
      <c r="B751" s="22"/>
    </row>
    <row r="752" spans="2:2" ht="15.75" customHeight="1">
      <c r="B752" s="22"/>
    </row>
    <row r="753" spans="2:2" ht="15.75" customHeight="1">
      <c r="B753" s="22"/>
    </row>
    <row r="754" spans="2:2" ht="15.75" customHeight="1">
      <c r="B754" s="22"/>
    </row>
    <row r="755" spans="2:2" ht="15.75" customHeight="1">
      <c r="B755" s="22"/>
    </row>
    <row r="756" spans="2:2" ht="15.75" customHeight="1">
      <c r="B756" s="22"/>
    </row>
    <row r="757" spans="2:2" ht="15.75" customHeight="1">
      <c r="B757" s="22"/>
    </row>
    <row r="758" spans="2:2" ht="15.75" customHeight="1">
      <c r="B758" s="22"/>
    </row>
    <row r="759" spans="2:2" ht="15.75" customHeight="1">
      <c r="B759" s="22"/>
    </row>
    <row r="760" spans="2:2" ht="15.75" customHeight="1">
      <c r="B760" s="22"/>
    </row>
    <row r="761" spans="2:2" ht="15.75" customHeight="1">
      <c r="B761" s="22"/>
    </row>
    <row r="762" spans="2:2" ht="15.75" customHeight="1">
      <c r="B762" s="22"/>
    </row>
    <row r="763" spans="2:2" ht="15.75" customHeight="1">
      <c r="B763" s="22"/>
    </row>
    <row r="764" spans="2:2" ht="15.75" customHeight="1">
      <c r="B764" s="22"/>
    </row>
    <row r="765" spans="2:2" ht="15.75" customHeight="1">
      <c r="B765" s="22"/>
    </row>
    <row r="766" spans="2:2" ht="15.75" customHeight="1">
      <c r="B766" s="22"/>
    </row>
    <row r="767" spans="2:2" ht="15.75" customHeight="1">
      <c r="B767" s="22"/>
    </row>
    <row r="768" spans="2:2" ht="15.75" customHeight="1">
      <c r="B768" s="22"/>
    </row>
    <row r="769" spans="2:2" ht="15.75" customHeight="1">
      <c r="B769" s="22"/>
    </row>
    <row r="770" spans="2:2" ht="15.75" customHeight="1">
      <c r="B770" s="22"/>
    </row>
    <row r="771" spans="2:2" ht="15.75" customHeight="1">
      <c r="B771" s="22"/>
    </row>
    <row r="772" spans="2:2" ht="15.75" customHeight="1">
      <c r="B772" s="22"/>
    </row>
    <row r="773" spans="2:2" ht="15.75" customHeight="1">
      <c r="B773" s="22"/>
    </row>
    <row r="774" spans="2:2" ht="15.75" customHeight="1">
      <c r="B774" s="22"/>
    </row>
    <row r="775" spans="2:2" ht="15.75" customHeight="1">
      <c r="B775" s="22"/>
    </row>
    <row r="776" spans="2:2" ht="15.75" customHeight="1">
      <c r="B776" s="22"/>
    </row>
    <row r="777" spans="2:2" ht="15.75" customHeight="1">
      <c r="B777" s="22"/>
    </row>
    <row r="778" spans="2:2" ht="15.75" customHeight="1">
      <c r="B778" s="22"/>
    </row>
    <row r="779" spans="2:2" ht="15.75" customHeight="1">
      <c r="B779" s="22"/>
    </row>
    <row r="780" spans="2:2" ht="15.75" customHeight="1">
      <c r="B780" s="22"/>
    </row>
    <row r="781" spans="2:2" ht="15.75" customHeight="1">
      <c r="B781" s="22"/>
    </row>
    <row r="782" spans="2:2" ht="15.75" customHeight="1">
      <c r="B782" s="22"/>
    </row>
    <row r="783" spans="2:2" ht="15.75" customHeight="1">
      <c r="B783" s="22"/>
    </row>
    <row r="784" spans="2:2" ht="15.75" customHeight="1">
      <c r="B784" s="22"/>
    </row>
    <row r="785" spans="2:2" ht="15.75" customHeight="1">
      <c r="B785" s="22"/>
    </row>
    <row r="786" spans="2:2" ht="15.75" customHeight="1">
      <c r="B786" s="22"/>
    </row>
    <row r="787" spans="2:2" ht="15.75" customHeight="1">
      <c r="B787" s="22"/>
    </row>
    <row r="788" spans="2:2" ht="15.75" customHeight="1">
      <c r="B788" s="22"/>
    </row>
    <row r="789" spans="2:2" ht="15.75" customHeight="1">
      <c r="B789" s="22"/>
    </row>
    <row r="790" spans="2:2" ht="15.75" customHeight="1">
      <c r="B790" s="22"/>
    </row>
    <row r="791" spans="2:2" ht="15.75" customHeight="1">
      <c r="B791" s="22"/>
    </row>
    <row r="792" spans="2:2" ht="15.75" customHeight="1">
      <c r="B792" s="22"/>
    </row>
    <row r="793" spans="2:2" ht="15.75" customHeight="1">
      <c r="B793" s="22"/>
    </row>
    <row r="794" spans="2:2" ht="15.75" customHeight="1">
      <c r="B794" s="22"/>
    </row>
    <row r="795" spans="2:2" ht="15.75" customHeight="1">
      <c r="B795" s="22"/>
    </row>
    <row r="796" spans="2:2" ht="15.75" customHeight="1">
      <c r="B796" s="22"/>
    </row>
    <row r="797" spans="2:2" ht="15.75" customHeight="1">
      <c r="B797" s="22"/>
    </row>
    <row r="798" spans="2:2" ht="15.75" customHeight="1">
      <c r="B798" s="22"/>
    </row>
    <row r="799" spans="2:2" ht="15.75" customHeight="1">
      <c r="B799" s="22"/>
    </row>
    <row r="800" spans="2:2" ht="15.75" customHeight="1">
      <c r="B800" s="22"/>
    </row>
    <row r="801" spans="2:2" ht="15.75" customHeight="1">
      <c r="B801" s="22"/>
    </row>
    <row r="802" spans="2:2" ht="15.75" customHeight="1">
      <c r="B802" s="22"/>
    </row>
    <row r="803" spans="2:2" ht="15.75" customHeight="1">
      <c r="B803" s="22"/>
    </row>
    <row r="804" spans="2:2" ht="15.75" customHeight="1">
      <c r="B804" s="22"/>
    </row>
    <row r="805" spans="2:2" ht="15.75" customHeight="1">
      <c r="B805" s="22"/>
    </row>
    <row r="806" spans="2:2" ht="15.75" customHeight="1">
      <c r="B806" s="22"/>
    </row>
    <row r="807" spans="2:2" ht="15.75" customHeight="1">
      <c r="B807" s="22"/>
    </row>
    <row r="808" spans="2:2" ht="15.75" customHeight="1">
      <c r="B808" s="22"/>
    </row>
    <row r="809" spans="2:2" ht="15.75" customHeight="1">
      <c r="B809" s="22"/>
    </row>
    <row r="810" spans="2:2" ht="15.75" customHeight="1">
      <c r="B810" s="22"/>
    </row>
    <row r="811" spans="2:2" ht="15.75" customHeight="1">
      <c r="B811" s="22"/>
    </row>
    <row r="812" spans="2:2" ht="15.75" customHeight="1">
      <c r="B812" s="22"/>
    </row>
    <row r="813" spans="2:2" ht="15.75" customHeight="1">
      <c r="B813" s="22"/>
    </row>
    <row r="814" spans="2:2" ht="15.75" customHeight="1">
      <c r="B814" s="22"/>
    </row>
    <row r="815" spans="2:2" ht="15.75" customHeight="1">
      <c r="B815" s="22"/>
    </row>
    <row r="816" spans="2:2" ht="15.75" customHeight="1">
      <c r="B816" s="22"/>
    </row>
    <row r="817" spans="2:2" ht="15.75" customHeight="1">
      <c r="B817" s="22"/>
    </row>
    <row r="818" spans="2:2" ht="15.75" customHeight="1">
      <c r="B818" s="22"/>
    </row>
    <row r="819" spans="2:2" ht="15.75" customHeight="1">
      <c r="B819" s="22"/>
    </row>
    <row r="820" spans="2:2" ht="15.75" customHeight="1">
      <c r="B820" s="22"/>
    </row>
    <row r="821" spans="2:2" ht="15.75" customHeight="1">
      <c r="B821" s="22"/>
    </row>
    <row r="822" spans="2:2" ht="15.75" customHeight="1">
      <c r="B822" s="22"/>
    </row>
    <row r="823" spans="2:2" ht="15.75" customHeight="1">
      <c r="B823" s="22"/>
    </row>
    <row r="824" spans="2:2" ht="15.75" customHeight="1">
      <c r="B824" s="22"/>
    </row>
    <row r="825" spans="2:2" ht="15.75" customHeight="1">
      <c r="B825" s="22"/>
    </row>
    <row r="826" spans="2:2" ht="15.75" customHeight="1">
      <c r="B826" s="22"/>
    </row>
    <row r="827" spans="2:2" ht="15.75" customHeight="1">
      <c r="B827" s="22"/>
    </row>
    <row r="828" spans="2:2" ht="15.75" customHeight="1">
      <c r="B828" s="22"/>
    </row>
    <row r="829" spans="2:2" ht="15.75" customHeight="1">
      <c r="B829" s="22"/>
    </row>
    <row r="830" spans="2:2" ht="15.75" customHeight="1">
      <c r="B830" s="22"/>
    </row>
    <row r="831" spans="2:2" ht="15.75" customHeight="1">
      <c r="B831" s="22"/>
    </row>
    <row r="832" spans="2:2" ht="15.75" customHeight="1">
      <c r="B832" s="22"/>
    </row>
    <row r="833" spans="2:2" ht="15.75" customHeight="1">
      <c r="B833" s="22"/>
    </row>
    <row r="834" spans="2:2" ht="15.75" customHeight="1">
      <c r="B834" s="22"/>
    </row>
    <row r="835" spans="2:2" ht="15.75" customHeight="1">
      <c r="B835" s="22"/>
    </row>
    <row r="836" spans="2:2" ht="15.75" customHeight="1">
      <c r="B836" s="22"/>
    </row>
    <row r="837" spans="2:2" ht="15.75" customHeight="1">
      <c r="B837" s="22"/>
    </row>
    <row r="838" spans="2:2" ht="15.75" customHeight="1">
      <c r="B838" s="22"/>
    </row>
    <row r="839" spans="2:2" ht="15.75" customHeight="1">
      <c r="B839" s="22"/>
    </row>
    <row r="840" spans="2:2" ht="15.75" customHeight="1">
      <c r="B840" s="22"/>
    </row>
    <row r="841" spans="2:2" ht="15.75" customHeight="1">
      <c r="B841" s="22"/>
    </row>
    <row r="842" spans="2:2" ht="15.75" customHeight="1">
      <c r="B842" s="22"/>
    </row>
    <row r="843" spans="2:2" ht="15.75" customHeight="1">
      <c r="B843" s="22"/>
    </row>
    <row r="844" spans="2:2" ht="15.75" customHeight="1">
      <c r="B844" s="22"/>
    </row>
    <row r="845" spans="2:2" ht="15.75" customHeight="1">
      <c r="B845" s="22"/>
    </row>
    <row r="846" spans="2:2" ht="15.75" customHeight="1">
      <c r="B846" s="22"/>
    </row>
    <row r="847" spans="2:2" ht="15.75" customHeight="1">
      <c r="B847" s="22"/>
    </row>
    <row r="848" spans="2:2" ht="15.75" customHeight="1">
      <c r="B848" s="22"/>
    </row>
    <row r="849" spans="2:2" ht="15.75" customHeight="1">
      <c r="B849" s="22"/>
    </row>
    <row r="850" spans="2:2" ht="15.75" customHeight="1">
      <c r="B850" s="22"/>
    </row>
    <row r="851" spans="2:2" ht="15.75" customHeight="1">
      <c r="B851" s="22"/>
    </row>
    <row r="852" spans="2:2" ht="15.75" customHeight="1">
      <c r="B852" s="22"/>
    </row>
    <row r="853" spans="2:2" ht="15.75" customHeight="1">
      <c r="B853" s="22"/>
    </row>
    <row r="854" spans="2:2" ht="15.75" customHeight="1">
      <c r="B854" s="22"/>
    </row>
    <row r="855" spans="2:2" ht="15.75" customHeight="1">
      <c r="B855" s="22"/>
    </row>
    <row r="856" spans="2:2" ht="15.75" customHeight="1">
      <c r="B856" s="22"/>
    </row>
    <row r="857" spans="2:2" ht="15.75" customHeight="1">
      <c r="B857" s="22"/>
    </row>
    <row r="858" spans="2:2" ht="15.75" customHeight="1">
      <c r="B858" s="22"/>
    </row>
    <row r="859" spans="2:2" ht="15.75" customHeight="1">
      <c r="B859" s="22"/>
    </row>
    <row r="860" spans="2:2" ht="15.75" customHeight="1">
      <c r="B860" s="22"/>
    </row>
    <row r="861" spans="2:2" ht="15.75" customHeight="1">
      <c r="B861" s="22"/>
    </row>
    <row r="862" spans="2:2" ht="15.75" customHeight="1">
      <c r="B862" s="22"/>
    </row>
    <row r="863" spans="2:2" ht="15.75" customHeight="1">
      <c r="B863" s="22"/>
    </row>
    <row r="864" spans="2:2" ht="15.75" customHeight="1">
      <c r="B864" s="22"/>
    </row>
    <row r="865" spans="2:2" ht="15.75" customHeight="1">
      <c r="B865" s="22"/>
    </row>
    <row r="866" spans="2:2" ht="15.75" customHeight="1">
      <c r="B866" s="22"/>
    </row>
    <row r="867" spans="2:2" ht="15.75" customHeight="1">
      <c r="B867" s="22"/>
    </row>
    <row r="868" spans="2:2" ht="15.75" customHeight="1">
      <c r="B868" s="22"/>
    </row>
    <row r="869" spans="2:2" ht="15.75" customHeight="1">
      <c r="B869" s="22"/>
    </row>
    <row r="870" spans="2:2" ht="15.75" customHeight="1">
      <c r="B870" s="22"/>
    </row>
    <row r="871" spans="2:2" ht="15.75" customHeight="1">
      <c r="B871" s="22"/>
    </row>
    <row r="872" spans="2:2" ht="15.75" customHeight="1">
      <c r="B872" s="22"/>
    </row>
    <row r="873" spans="2:2" ht="15.75" customHeight="1">
      <c r="B873" s="22"/>
    </row>
    <row r="874" spans="2:2" ht="15.75" customHeight="1">
      <c r="B874" s="22"/>
    </row>
    <row r="875" spans="2:2" ht="15.75" customHeight="1">
      <c r="B875" s="22"/>
    </row>
    <row r="876" spans="2:2" ht="15.75" customHeight="1">
      <c r="B876" s="22"/>
    </row>
    <row r="877" spans="2:2" ht="15.75" customHeight="1">
      <c r="B877" s="22"/>
    </row>
    <row r="878" spans="2:2" ht="15.75" customHeight="1">
      <c r="B878" s="22"/>
    </row>
    <row r="879" spans="2:2" ht="15.75" customHeight="1">
      <c r="B879" s="22"/>
    </row>
    <row r="880" spans="2:2" ht="15.75" customHeight="1">
      <c r="B880" s="22"/>
    </row>
    <row r="881" spans="2:2" ht="15.75" customHeight="1">
      <c r="B881" s="22"/>
    </row>
    <row r="882" spans="2:2" ht="15.75" customHeight="1">
      <c r="B882" s="22"/>
    </row>
    <row r="883" spans="2:2" ht="15.75" customHeight="1">
      <c r="B883" s="22"/>
    </row>
    <row r="884" spans="2:2" ht="15.75" customHeight="1">
      <c r="B884" s="22"/>
    </row>
    <row r="885" spans="2:2" ht="15.75" customHeight="1">
      <c r="B885" s="22"/>
    </row>
    <row r="886" spans="2:2" ht="15.75" customHeight="1">
      <c r="B886" s="22"/>
    </row>
    <row r="887" spans="2:2" ht="15.75" customHeight="1">
      <c r="B887" s="22"/>
    </row>
    <row r="888" spans="2:2" ht="15.75" customHeight="1">
      <c r="B888" s="22"/>
    </row>
    <row r="889" spans="2:2" ht="15.75" customHeight="1">
      <c r="B889" s="22"/>
    </row>
    <row r="890" spans="2:2" ht="15.75" customHeight="1">
      <c r="B890" s="22"/>
    </row>
    <row r="891" spans="2:2" ht="15.75" customHeight="1">
      <c r="B891" s="22"/>
    </row>
    <row r="892" spans="2:2" ht="15.75" customHeight="1">
      <c r="B892" s="22"/>
    </row>
    <row r="893" spans="2:2" ht="15.75" customHeight="1">
      <c r="B893" s="22"/>
    </row>
    <row r="894" spans="2:2" ht="15.75" customHeight="1">
      <c r="B894" s="22"/>
    </row>
    <row r="895" spans="2:2" ht="15.75" customHeight="1">
      <c r="B895" s="22"/>
    </row>
    <row r="896" spans="2:2" ht="15.75" customHeight="1">
      <c r="B896" s="22"/>
    </row>
    <row r="897" spans="2:2" ht="15.75" customHeight="1">
      <c r="B897" s="22"/>
    </row>
    <row r="898" spans="2:2" ht="15.75" customHeight="1">
      <c r="B898" s="22"/>
    </row>
    <row r="899" spans="2:2" ht="15.75" customHeight="1">
      <c r="B899" s="22"/>
    </row>
    <row r="900" spans="2:2" ht="15.75" customHeight="1">
      <c r="B900" s="22"/>
    </row>
    <row r="901" spans="2:2" ht="15.75" customHeight="1">
      <c r="B901" s="22"/>
    </row>
    <row r="902" spans="2:2" ht="15.75" customHeight="1">
      <c r="B902" s="22"/>
    </row>
    <row r="903" spans="2:2" ht="15.75" customHeight="1">
      <c r="B903" s="22"/>
    </row>
    <row r="904" spans="2:2" ht="15.75" customHeight="1">
      <c r="B904" s="22"/>
    </row>
    <row r="905" spans="2:2" ht="15.75" customHeight="1">
      <c r="B905" s="22"/>
    </row>
    <row r="906" spans="2:2" ht="15.75" customHeight="1">
      <c r="B906" s="22"/>
    </row>
    <row r="907" spans="2:2" ht="15.75" customHeight="1">
      <c r="B907" s="22"/>
    </row>
    <row r="908" spans="2:2" ht="15.75" customHeight="1">
      <c r="B908" s="22"/>
    </row>
    <row r="909" spans="2:2" ht="15.75" customHeight="1">
      <c r="B909" s="22"/>
    </row>
    <row r="910" spans="2:2" ht="15.75" customHeight="1">
      <c r="B910" s="22"/>
    </row>
    <row r="911" spans="2:2" ht="15.75" customHeight="1">
      <c r="B911" s="22"/>
    </row>
    <row r="912" spans="2:2" ht="15.75" customHeight="1">
      <c r="B912" s="22"/>
    </row>
    <row r="913" spans="2:2" ht="15.75" customHeight="1">
      <c r="B913" s="22"/>
    </row>
    <row r="914" spans="2:2" ht="15.75" customHeight="1">
      <c r="B914" s="22"/>
    </row>
    <row r="915" spans="2:2" ht="15.75" customHeight="1">
      <c r="B915" s="22"/>
    </row>
    <row r="916" spans="2:2" ht="15.75" customHeight="1">
      <c r="B916" s="22"/>
    </row>
    <row r="917" spans="2:2" ht="15.75" customHeight="1">
      <c r="B917" s="22"/>
    </row>
    <row r="918" spans="2:2" ht="15.75" customHeight="1">
      <c r="B918" s="22"/>
    </row>
    <row r="919" spans="2:2" ht="15.75" customHeight="1">
      <c r="B919" s="22"/>
    </row>
    <row r="920" spans="2:2" ht="15.75" customHeight="1">
      <c r="B920" s="22"/>
    </row>
    <row r="921" spans="2:2" ht="15.75" customHeight="1">
      <c r="B921" s="22"/>
    </row>
    <row r="922" spans="2:2" ht="15.75" customHeight="1">
      <c r="B922" s="22"/>
    </row>
    <row r="923" spans="2:2" ht="15.75" customHeight="1">
      <c r="B923" s="22"/>
    </row>
    <row r="924" spans="2:2" ht="15.75" customHeight="1">
      <c r="B924" s="22"/>
    </row>
    <row r="925" spans="2:2" ht="15.75" customHeight="1">
      <c r="B925" s="22"/>
    </row>
    <row r="926" spans="2:2" ht="15.75" customHeight="1">
      <c r="B926" s="22"/>
    </row>
    <row r="927" spans="2:2" ht="15.75" customHeight="1">
      <c r="B927" s="22"/>
    </row>
    <row r="928" spans="2:2" ht="15.75" customHeight="1">
      <c r="B928" s="22"/>
    </row>
    <row r="929" spans="2:2" ht="15.75" customHeight="1">
      <c r="B929" s="22"/>
    </row>
    <row r="930" spans="2:2" ht="15.75" customHeight="1">
      <c r="B930" s="22"/>
    </row>
    <row r="931" spans="2:2" ht="15.75" customHeight="1">
      <c r="B931" s="22"/>
    </row>
    <row r="932" spans="2:2" ht="15.75" customHeight="1">
      <c r="B932" s="22"/>
    </row>
    <row r="933" spans="2:2" ht="15.75" customHeight="1">
      <c r="B933" s="22"/>
    </row>
    <row r="934" spans="2:2" ht="15.75" customHeight="1">
      <c r="B934" s="22"/>
    </row>
    <row r="935" spans="2:2" ht="15.75" customHeight="1">
      <c r="B935" s="22"/>
    </row>
    <row r="936" spans="2:2" ht="15.75" customHeight="1">
      <c r="B936" s="22"/>
    </row>
    <row r="937" spans="2:2" ht="15.75" customHeight="1">
      <c r="B937" s="22"/>
    </row>
    <row r="938" spans="2:2" ht="15.75" customHeight="1">
      <c r="B938" s="22"/>
    </row>
    <row r="939" spans="2:2" ht="15.75" customHeight="1">
      <c r="B939" s="22"/>
    </row>
    <row r="940" spans="2:2" ht="15.75" customHeight="1">
      <c r="B940" s="22"/>
    </row>
    <row r="941" spans="2:2" ht="15.75" customHeight="1">
      <c r="B941" s="22"/>
    </row>
    <row r="942" spans="2:2" ht="15.75" customHeight="1">
      <c r="B942" s="22"/>
    </row>
    <row r="943" spans="2:2" ht="15.75" customHeight="1">
      <c r="B943" s="22"/>
    </row>
    <row r="944" spans="2:2" ht="15.75" customHeight="1">
      <c r="B944" s="22"/>
    </row>
    <row r="945" spans="2:2" ht="15.75" customHeight="1">
      <c r="B945" s="22"/>
    </row>
    <row r="946" spans="2:2" ht="15.75" customHeight="1">
      <c r="B946" s="22"/>
    </row>
    <row r="947" spans="2:2" ht="15.75" customHeight="1">
      <c r="B947" s="22"/>
    </row>
    <row r="948" spans="2:2" ht="15.75" customHeight="1">
      <c r="B948" s="22"/>
    </row>
    <row r="949" spans="2:2" ht="15.75" customHeight="1">
      <c r="B949" s="22"/>
    </row>
    <row r="950" spans="2:2" ht="15.75" customHeight="1">
      <c r="B950" s="22"/>
    </row>
    <row r="951" spans="2:2" ht="15.75" customHeight="1">
      <c r="B951" s="22"/>
    </row>
    <row r="952" spans="2:2" ht="15.75" customHeight="1">
      <c r="B952" s="22"/>
    </row>
    <row r="953" spans="2:2" ht="15.75" customHeight="1">
      <c r="B953" s="22"/>
    </row>
    <row r="954" spans="2:2" ht="15.75" customHeight="1">
      <c r="B954" s="22"/>
    </row>
    <row r="955" spans="2:2" ht="15.75" customHeight="1">
      <c r="B955" s="22"/>
    </row>
    <row r="956" spans="2:2" ht="15.75" customHeight="1">
      <c r="B956" s="22"/>
    </row>
    <row r="957" spans="2:2" ht="15.75" customHeight="1">
      <c r="B957" s="22"/>
    </row>
    <row r="958" spans="2:2" ht="15.75" customHeight="1">
      <c r="B958" s="22"/>
    </row>
    <row r="959" spans="2:2" ht="15.75" customHeight="1">
      <c r="B959" s="22"/>
    </row>
    <row r="960" spans="2:2" ht="15.75" customHeight="1">
      <c r="B960" s="22"/>
    </row>
    <row r="961" spans="2:2" ht="15.75" customHeight="1">
      <c r="B961" s="22"/>
    </row>
    <row r="962" spans="2:2" ht="15.75" customHeight="1">
      <c r="B962" s="22"/>
    </row>
    <row r="963" spans="2:2" ht="15.75" customHeight="1">
      <c r="B963" s="22"/>
    </row>
    <row r="964" spans="2:2" ht="15.75" customHeight="1">
      <c r="B964" s="22"/>
    </row>
    <row r="965" spans="2:2" ht="15.75" customHeight="1">
      <c r="B965" s="22"/>
    </row>
    <row r="966" spans="2:2" ht="15.75" customHeight="1">
      <c r="B966" s="22"/>
    </row>
    <row r="967" spans="2:2" ht="15.75" customHeight="1">
      <c r="B967" s="22"/>
    </row>
    <row r="968" spans="2:2" ht="15.75" customHeight="1">
      <c r="B968" s="22"/>
    </row>
    <row r="969" spans="2:2" ht="15.75" customHeight="1">
      <c r="B969" s="22"/>
    </row>
    <row r="970" spans="2:2" ht="15.75" customHeight="1">
      <c r="B970" s="22"/>
    </row>
    <row r="971" spans="2:2" ht="15.75" customHeight="1">
      <c r="B971" s="22"/>
    </row>
    <row r="972" spans="2:2" ht="15.75" customHeight="1">
      <c r="B972" s="22"/>
    </row>
    <row r="973" spans="2:2" ht="15.75" customHeight="1">
      <c r="B973" s="22"/>
    </row>
    <row r="974" spans="2:2" ht="15.75" customHeight="1">
      <c r="B974" s="22"/>
    </row>
    <row r="975" spans="2:2" ht="15.75" customHeight="1">
      <c r="B975" s="22"/>
    </row>
    <row r="976" spans="2:2" ht="15.75" customHeight="1">
      <c r="B976" s="22"/>
    </row>
    <row r="977" spans="2:2" ht="15.75" customHeight="1">
      <c r="B977" s="22"/>
    </row>
    <row r="978" spans="2:2" ht="15.75" customHeight="1">
      <c r="B978" s="22"/>
    </row>
    <row r="979" spans="2:2" ht="15.75" customHeight="1">
      <c r="B979" s="22"/>
    </row>
    <row r="980" spans="2:2" ht="15.75" customHeight="1">
      <c r="B980" s="22"/>
    </row>
    <row r="981" spans="2:2" ht="15.75" customHeight="1">
      <c r="B981" s="22"/>
    </row>
    <row r="982" spans="2:2" ht="15.75" customHeight="1">
      <c r="B982" s="22"/>
    </row>
    <row r="983" spans="2:2" ht="15.75" customHeight="1">
      <c r="B983" s="22"/>
    </row>
    <row r="984" spans="2:2" ht="15.75" customHeight="1">
      <c r="B984" s="22"/>
    </row>
    <row r="985" spans="2:2" ht="15.75" customHeight="1">
      <c r="B985" s="22"/>
    </row>
    <row r="986" spans="2:2" ht="15.75" customHeight="1">
      <c r="B986" s="22"/>
    </row>
    <row r="987" spans="2:2" ht="15.75" customHeight="1">
      <c r="B987" s="22"/>
    </row>
    <row r="988" spans="2:2" ht="15.75" customHeight="1">
      <c r="B988" s="22"/>
    </row>
    <row r="989" spans="2:2" ht="15.75" customHeight="1">
      <c r="B989" s="22"/>
    </row>
    <row r="990" spans="2:2" ht="15.75" customHeight="1">
      <c r="B990" s="22"/>
    </row>
    <row r="991" spans="2:2" ht="15.75" customHeight="1">
      <c r="B991" s="22"/>
    </row>
    <row r="992" spans="2:2" ht="15.75" customHeight="1">
      <c r="B992" s="22"/>
    </row>
    <row r="993" spans="2:2" ht="15.75" customHeight="1">
      <c r="B993" s="22"/>
    </row>
    <row r="994" spans="2:2" ht="15.75" customHeight="1">
      <c r="B994" s="22"/>
    </row>
    <row r="995" spans="2:2" ht="15.75" customHeight="1">
      <c r="B995" s="22"/>
    </row>
    <row r="996" spans="2:2" ht="15.75" customHeight="1">
      <c r="B996" s="22"/>
    </row>
    <row r="997" spans="2:2" ht="15.75" customHeight="1">
      <c r="B997" s="22"/>
    </row>
    <row r="998" spans="2:2" ht="15.75" customHeight="1">
      <c r="B998" s="22"/>
    </row>
    <row r="999" spans="2:2" ht="15.75" customHeight="1">
      <c r="B999" s="22"/>
    </row>
    <row r="1000" spans="2:2" ht="15.75" customHeight="1">
      <c r="B1000" s="22"/>
    </row>
  </sheetData>
  <autoFilter ref="A1:Y30" xr:uid="{00000000-0001-0000-0600-000000000000}"/>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location=".V1AYvfl97IU" xr:uid="{00000000-0004-0000-0600-00000D000000}"/>
    <hyperlink ref="B16" r:id="rId15" location=".V72eS_l97IU" xr:uid="{00000000-0004-0000-0600-00000E000000}"/>
    <hyperlink ref="B17" r:id="rId16" location=".V9uJGfl97IU" xr:uid="{00000000-0004-0000-0600-00000F000000}"/>
    <hyperlink ref="B18" r:id="rId17" location=".V-I6Mfl97IU" xr:uid="{00000000-0004-0000-0600-000010000000}"/>
    <hyperlink ref="B19" r:id="rId18" location=".V-5Pafl97IU" xr:uid="{00000000-0004-0000-0600-000011000000}"/>
    <hyperlink ref="B20" r:id="rId19" location=".V_4NUfl97IU" xr:uid="{00000000-0004-0000-0600-000012000000}"/>
    <hyperlink ref="B21" r:id="rId20" xr:uid="{00000000-0004-0000-0600-000013000000}"/>
    <hyperlink ref="B22" r:id="rId21" xr:uid="{00000000-0004-0000-0600-000014000000}"/>
    <hyperlink ref="B23" r:id="rId22" xr:uid="{00000000-0004-0000-0600-000015000000}"/>
    <hyperlink ref="B25" r:id="rId23" xr:uid="{00000000-0004-0000-0600-000016000000}"/>
    <hyperlink ref="B26" r:id="rId24" xr:uid="{00000000-0004-0000-0600-000017000000}"/>
    <hyperlink ref="B27" r:id="rId25" xr:uid="{00000000-0004-0000-0600-000018000000}"/>
    <hyperlink ref="B28" r:id="rId26" xr:uid="{00000000-0004-0000-0600-000019000000}"/>
    <hyperlink ref="B29" r:id="rId27" xr:uid="{6BDE97FC-5639-45E0-9A90-0EE562BBE0C0}"/>
    <hyperlink ref="B30" r:id="rId28" display="https://www.microsave.net/2026/03/12/bridging-the-digital-divide-for-low-income-entrepreneurs-in-bangladesh/" xr:uid="{D019B3CA-FD42-4516-8877-EA35FB7F685D}"/>
    <hyperlink ref="E30" r:id="rId29" display="https://www.microsave.net/author/mayank-sharma/" xr:uid="{CAEDB9C4-7944-4594-9BE0-F386D957B88A}"/>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tabSelected="1" topLeftCell="B1" workbookViewId="0">
      <pane ySplit="1" topLeftCell="A2" activePane="bottomLeft" state="frozen"/>
      <selection pane="bottomLeft" activeCell="B1" sqref="A1:XFD1"/>
    </sheetView>
  </sheetViews>
  <sheetFormatPr defaultColWidth="14.44140625" defaultRowHeight="15" customHeight="1"/>
  <cols>
    <col min="1" max="1" width="9" style="28" customWidth="1"/>
    <col min="2" max="2" width="59.6640625" style="29" customWidth="1"/>
    <col min="3" max="3" width="13.6640625" style="28" customWidth="1"/>
    <col min="4" max="4" width="94.33203125" style="28" customWidth="1"/>
    <col min="5" max="5" width="33.33203125" style="28" customWidth="1"/>
    <col min="6" max="25" width="9.109375" style="28" customWidth="1"/>
    <col min="26" max="16384" width="14.44140625" style="28"/>
  </cols>
  <sheetData>
    <row r="1" spans="1:25" s="506" customFormat="1" ht="33.75" customHeight="1">
      <c r="A1" s="499" t="s">
        <v>3725</v>
      </c>
      <c r="B1" s="499" t="s">
        <v>3527</v>
      </c>
      <c r="C1" s="499" t="s">
        <v>2</v>
      </c>
      <c r="D1" s="499" t="s">
        <v>3</v>
      </c>
      <c r="E1" s="499" t="s">
        <v>1199</v>
      </c>
      <c r="F1" s="504"/>
      <c r="G1" s="504"/>
      <c r="H1" s="504"/>
      <c r="I1" s="504"/>
      <c r="J1" s="504"/>
      <c r="K1" s="504"/>
      <c r="L1" s="504"/>
      <c r="M1" s="504"/>
      <c r="N1" s="504"/>
      <c r="O1" s="504"/>
      <c r="P1" s="504"/>
      <c r="Q1" s="504"/>
      <c r="R1" s="504"/>
      <c r="S1" s="504"/>
      <c r="T1" s="504"/>
      <c r="U1" s="505"/>
      <c r="V1" s="504"/>
      <c r="W1" s="504"/>
      <c r="X1" s="504"/>
      <c r="Y1" s="504"/>
    </row>
    <row r="2" spans="1:25" ht="33.75" customHeight="1">
      <c r="A2" s="15">
        <v>1</v>
      </c>
      <c r="B2" s="2" t="s">
        <v>3726</v>
      </c>
      <c r="C2" s="420">
        <v>39146</v>
      </c>
      <c r="D2" s="113" t="s">
        <v>3727</v>
      </c>
      <c r="E2" s="2" t="s">
        <v>3728</v>
      </c>
      <c r="F2" s="23"/>
      <c r="G2" s="23"/>
      <c r="H2" s="23"/>
      <c r="I2" s="23"/>
      <c r="J2" s="23"/>
      <c r="K2" s="23"/>
      <c r="L2" s="23"/>
      <c r="M2" s="23"/>
      <c r="N2" s="23"/>
      <c r="O2" s="23"/>
      <c r="P2" s="23"/>
      <c r="Q2" s="23"/>
      <c r="R2" s="23"/>
      <c r="S2" s="23"/>
      <c r="T2" s="23"/>
      <c r="U2" s="23"/>
      <c r="V2" s="23"/>
      <c r="W2" s="23"/>
      <c r="X2" s="23"/>
      <c r="Y2" s="23"/>
    </row>
    <row r="3" spans="1:25" ht="86.4">
      <c r="A3" s="15">
        <v>2</v>
      </c>
      <c r="B3" s="2" t="s">
        <v>3729</v>
      </c>
      <c r="C3" s="348">
        <v>39188</v>
      </c>
      <c r="D3" s="113" t="s">
        <v>3730</v>
      </c>
      <c r="E3" s="24" t="s">
        <v>3731</v>
      </c>
      <c r="F3" s="23"/>
      <c r="G3" s="23"/>
      <c r="H3" s="23"/>
      <c r="I3" s="23"/>
      <c r="J3" s="23"/>
      <c r="K3" s="23"/>
      <c r="L3" s="23"/>
      <c r="M3" s="23"/>
      <c r="N3" s="23"/>
      <c r="O3" s="23"/>
      <c r="P3" s="23"/>
      <c r="Q3" s="23"/>
      <c r="R3" s="23"/>
      <c r="S3" s="23"/>
      <c r="T3" s="23"/>
      <c r="U3" s="23"/>
      <c r="V3" s="23"/>
      <c r="W3" s="23"/>
      <c r="X3" s="23"/>
      <c r="Y3" s="23"/>
    </row>
    <row r="4" spans="1:25" ht="107.4" customHeight="1">
      <c r="A4" s="15">
        <v>3</v>
      </c>
      <c r="B4" s="2" t="s">
        <v>3732</v>
      </c>
      <c r="C4" s="420">
        <v>39202</v>
      </c>
      <c r="D4" s="429" t="s">
        <v>3733</v>
      </c>
      <c r="E4" s="143" t="s">
        <v>3731</v>
      </c>
      <c r="F4" s="23"/>
      <c r="G4" s="23"/>
      <c r="H4" s="23"/>
      <c r="I4" s="23"/>
      <c r="J4" s="23"/>
      <c r="K4" s="23"/>
      <c r="L4" s="23"/>
      <c r="M4" s="23"/>
      <c r="N4" s="23"/>
      <c r="O4" s="23"/>
      <c r="P4" s="23"/>
      <c r="Q4" s="23"/>
      <c r="R4" s="23"/>
      <c r="S4" s="23"/>
      <c r="T4" s="23"/>
      <c r="U4" s="23"/>
      <c r="V4" s="23"/>
      <c r="W4" s="23"/>
      <c r="X4" s="23"/>
      <c r="Y4" s="23"/>
    </row>
    <row r="5" spans="1:25" ht="86.4">
      <c r="A5" s="15">
        <v>4</v>
      </c>
      <c r="B5" s="2" t="s">
        <v>288</v>
      </c>
      <c r="C5" s="420">
        <v>39209</v>
      </c>
      <c r="D5" s="113" t="s">
        <v>3734</v>
      </c>
      <c r="E5" s="197" t="s">
        <v>290</v>
      </c>
      <c r="F5" s="23"/>
      <c r="G5" s="23"/>
      <c r="H5" s="23"/>
      <c r="I5" s="23"/>
      <c r="J5" s="23"/>
      <c r="K5" s="23"/>
      <c r="L5" s="23"/>
      <c r="M5" s="23"/>
      <c r="N5" s="23"/>
      <c r="O5" s="23"/>
      <c r="P5" s="23"/>
      <c r="Q5" s="23"/>
      <c r="R5" s="23"/>
      <c r="S5" s="23"/>
      <c r="T5" s="23"/>
      <c r="U5" s="23"/>
      <c r="V5" s="23"/>
      <c r="W5" s="23"/>
      <c r="X5" s="23"/>
      <c r="Y5" s="23"/>
    </row>
    <row r="6" spans="1:25" ht="100.8">
      <c r="A6" s="15">
        <v>5</v>
      </c>
      <c r="B6" s="2" t="s">
        <v>3735</v>
      </c>
      <c r="C6" s="420">
        <v>39273</v>
      </c>
      <c r="D6" s="113" t="s">
        <v>3736</v>
      </c>
      <c r="E6" s="2" t="s">
        <v>3737</v>
      </c>
      <c r="F6" s="23"/>
      <c r="G6" s="23"/>
      <c r="H6" s="23"/>
      <c r="I6" s="23"/>
      <c r="J6" s="23"/>
      <c r="K6" s="23"/>
      <c r="L6" s="23"/>
      <c r="M6" s="23"/>
      <c r="N6" s="23"/>
      <c r="O6" s="23"/>
      <c r="P6" s="23"/>
      <c r="Q6" s="23"/>
      <c r="R6" s="23"/>
      <c r="S6" s="23"/>
      <c r="T6" s="23"/>
      <c r="U6" s="23"/>
      <c r="V6" s="23"/>
      <c r="W6" s="23"/>
      <c r="X6" s="23"/>
      <c r="Y6" s="23"/>
    </row>
    <row r="7" spans="1:25" ht="115.2">
      <c r="A7" s="15">
        <v>6</v>
      </c>
      <c r="B7" s="2" t="s">
        <v>3738</v>
      </c>
      <c r="C7" s="420">
        <v>39482</v>
      </c>
      <c r="D7" s="113" t="s">
        <v>3739</v>
      </c>
      <c r="E7" s="2" t="s">
        <v>3740</v>
      </c>
      <c r="F7" s="23"/>
      <c r="G7" s="23"/>
      <c r="H7" s="23"/>
      <c r="I7" s="23"/>
      <c r="J7" s="23"/>
      <c r="K7" s="23"/>
      <c r="L7" s="23"/>
      <c r="M7" s="23"/>
      <c r="N7" s="23"/>
      <c r="O7" s="23"/>
      <c r="P7" s="23"/>
      <c r="Q7" s="23"/>
      <c r="R7" s="23"/>
      <c r="S7" s="23"/>
      <c r="T7" s="23"/>
      <c r="U7" s="23"/>
      <c r="V7" s="23"/>
      <c r="W7" s="23"/>
      <c r="X7" s="23"/>
      <c r="Y7" s="23"/>
    </row>
    <row r="8" spans="1:25" ht="86.4">
      <c r="A8" s="15">
        <v>7</v>
      </c>
      <c r="B8" s="2" t="s">
        <v>3741</v>
      </c>
      <c r="C8" s="420">
        <v>39505</v>
      </c>
      <c r="D8" s="113" t="s">
        <v>3742</v>
      </c>
      <c r="E8" s="2" t="s">
        <v>7</v>
      </c>
      <c r="F8" s="23"/>
      <c r="G8" s="23"/>
      <c r="H8" s="23"/>
      <c r="I8" s="23"/>
      <c r="J8" s="23"/>
      <c r="K8" s="23"/>
      <c r="L8" s="23"/>
      <c r="M8" s="23"/>
      <c r="N8" s="23"/>
      <c r="O8" s="23"/>
      <c r="P8" s="23"/>
      <c r="Q8" s="23"/>
      <c r="R8" s="23"/>
      <c r="S8" s="23"/>
      <c r="T8" s="23"/>
      <c r="U8" s="23"/>
      <c r="V8" s="23"/>
      <c r="W8" s="23"/>
      <c r="X8" s="23"/>
      <c r="Y8" s="23"/>
    </row>
    <row r="9" spans="1:25" ht="86.4">
      <c r="A9" s="15">
        <v>8</v>
      </c>
      <c r="B9" s="2" t="s">
        <v>3743</v>
      </c>
      <c r="C9" s="420">
        <v>39518</v>
      </c>
      <c r="D9" s="113" t="s">
        <v>3744</v>
      </c>
      <c r="E9" s="2" t="s">
        <v>7</v>
      </c>
      <c r="F9" s="23"/>
      <c r="G9" s="23"/>
      <c r="H9" s="23"/>
      <c r="I9" s="23"/>
      <c r="J9" s="23"/>
      <c r="K9" s="23"/>
      <c r="L9" s="23"/>
      <c r="M9" s="23"/>
      <c r="N9" s="23"/>
      <c r="O9" s="23"/>
      <c r="P9" s="23"/>
      <c r="Q9" s="23"/>
      <c r="R9" s="23"/>
      <c r="S9" s="23"/>
      <c r="T9" s="23"/>
      <c r="U9" s="23"/>
      <c r="V9" s="23"/>
      <c r="W9" s="23"/>
      <c r="X9" s="23"/>
      <c r="Y9" s="23"/>
    </row>
    <row r="10" spans="1:25" ht="100.8">
      <c r="A10" s="15">
        <v>9</v>
      </c>
      <c r="B10" s="2" t="s">
        <v>3745</v>
      </c>
      <c r="C10" s="420">
        <v>39528</v>
      </c>
      <c r="D10" s="113" t="s">
        <v>3746</v>
      </c>
      <c r="E10" s="2" t="s">
        <v>3747</v>
      </c>
      <c r="F10" s="23"/>
      <c r="G10" s="23"/>
      <c r="H10" s="23"/>
      <c r="I10" s="23"/>
      <c r="J10" s="23"/>
      <c r="K10" s="23"/>
      <c r="L10" s="23"/>
      <c r="M10" s="23"/>
      <c r="N10" s="23"/>
      <c r="O10" s="23"/>
      <c r="P10" s="23"/>
      <c r="Q10" s="23"/>
      <c r="R10" s="23"/>
      <c r="S10" s="23"/>
      <c r="T10" s="23"/>
      <c r="U10" s="23"/>
      <c r="V10" s="23"/>
      <c r="W10" s="23"/>
      <c r="X10" s="23"/>
      <c r="Y10" s="23"/>
    </row>
    <row r="11" spans="1:25" ht="115.2">
      <c r="A11" s="15">
        <v>10</v>
      </c>
      <c r="B11" s="2" t="s">
        <v>3748</v>
      </c>
      <c r="C11" s="420">
        <v>39545</v>
      </c>
      <c r="D11" s="113" t="s">
        <v>3749</v>
      </c>
      <c r="E11" s="2" t="s">
        <v>3750</v>
      </c>
      <c r="F11" s="23"/>
      <c r="G11" s="23"/>
      <c r="H11" s="23"/>
      <c r="I11" s="23"/>
      <c r="J11" s="23"/>
      <c r="K11" s="23"/>
      <c r="L11" s="23"/>
      <c r="M11" s="23"/>
      <c r="N11" s="23"/>
      <c r="O11" s="23"/>
      <c r="P11" s="23"/>
      <c r="Q11" s="23"/>
      <c r="R11" s="23"/>
      <c r="S11" s="23"/>
      <c r="T11" s="23"/>
      <c r="U11" s="23"/>
      <c r="V11" s="23"/>
      <c r="W11" s="23"/>
      <c r="X11" s="23"/>
      <c r="Y11" s="23"/>
    </row>
    <row r="12" spans="1:25" ht="244.8">
      <c r="A12" s="15">
        <v>11</v>
      </c>
      <c r="B12" s="2" t="s">
        <v>3751</v>
      </c>
      <c r="C12" s="420">
        <v>39710</v>
      </c>
      <c r="D12" s="113" t="s">
        <v>3752</v>
      </c>
      <c r="E12" s="2" t="s">
        <v>3753</v>
      </c>
      <c r="F12" s="23"/>
      <c r="G12" s="23"/>
      <c r="H12" s="23"/>
      <c r="I12" s="23"/>
      <c r="J12" s="23"/>
      <c r="K12" s="23"/>
      <c r="L12" s="23"/>
      <c r="M12" s="23"/>
      <c r="N12" s="23"/>
      <c r="O12" s="23"/>
      <c r="P12" s="23"/>
      <c r="Q12" s="23"/>
      <c r="R12" s="23"/>
      <c r="S12" s="23"/>
      <c r="T12" s="23"/>
      <c r="U12" s="23"/>
      <c r="V12" s="23"/>
      <c r="W12" s="23"/>
      <c r="X12" s="23"/>
      <c r="Y12" s="23"/>
    </row>
    <row r="13" spans="1:25" ht="86.4">
      <c r="A13" s="15">
        <v>12</v>
      </c>
      <c r="B13" s="2" t="s">
        <v>3754</v>
      </c>
      <c r="C13" s="420">
        <v>39828</v>
      </c>
      <c r="D13" s="113" t="s">
        <v>3755</v>
      </c>
      <c r="E13" s="2" t="s">
        <v>7</v>
      </c>
      <c r="F13" s="23"/>
      <c r="G13" s="23"/>
      <c r="H13" s="23"/>
      <c r="I13" s="23"/>
      <c r="J13" s="23"/>
      <c r="K13" s="23"/>
      <c r="L13" s="23"/>
      <c r="M13" s="23"/>
      <c r="N13" s="23"/>
      <c r="O13" s="23"/>
      <c r="P13" s="23"/>
      <c r="Q13" s="23"/>
      <c r="R13" s="23"/>
      <c r="S13" s="23"/>
      <c r="T13" s="23"/>
      <c r="U13" s="23"/>
      <c r="V13" s="23"/>
      <c r="W13" s="23"/>
      <c r="X13" s="23"/>
      <c r="Y13" s="23"/>
    </row>
    <row r="14" spans="1:25" ht="100.8">
      <c r="A14" s="15">
        <v>13</v>
      </c>
      <c r="B14" s="2" t="s">
        <v>3756</v>
      </c>
      <c r="C14" s="420">
        <v>39862</v>
      </c>
      <c r="D14" s="113" t="s">
        <v>3757</v>
      </c>
      <c r="E14" s="2" t="s">
        <v>3758</v>
      </c>
      <c r="F14" s="23"/>
      <c r="G14" s="23"/>
      <c r="H14" s="23"/>
      <c r="I14" s="23"/>
      <c r="J14" s="23"/>
      <c r="K14" s="23"/>
      <c r="L14" s="23"/>
      <c r="M14" s="23"/>
      <c r="N14" s="23"/>
      <c r="O14" s="23"/>
      <c r="P14" s="23"/>
      <c r="Q14" s="23"/>
      <c r="R14" s="23"/>
      <c r="S14" s="23"/>
      <c r="T14" s="23"/>
      <c r="U14" s="23"/>
      <c r="V14" s="23"/>
      <c r="W14" s="23"/>
      <c r="X14" s="23"/>
      <c r="Y14" s="23"/>
    </row>
    <row r="15" spans="1:25" ht="115.2">
      <c r="A15" s="15">
        <v>14</v>
      </c>
      <c r="B15" s="2" t="s">
        <v>3759</v>
      </c>
      <c r="C15" s="420">
        <v>39869</v>
      </c>
      <c r="D15" s="113" t="s">
        <v>3760</v>
      </c>
      <c r="E15" s="2" t="s">
        <v>3761</v>
      </c>
      <c r="F15" s="23"/>
      <c r="G15" s="23"/>
      <c r="H15" s="23"/>
      <c r="I15" s="23"/>
      <c r="J15" s="23"/>
      <c r="K15" s="23"/>
      <c r="L15" s="23"/>
      <c r="M15" s="23"/>
      <c r="N15" s="23"/>
      <c r="O15" s="23"/>
      <c r="P15" s="23"/>
      <c r="Q15" s="23"/>
      <c r="R15" s="23"/>
      <c r="S15" s="23"/>
      <c r="T15" s="23"/>
      <c r="U15" s="23"/>
      <c r="V15" s="23"/>
      <c r="W15" s="23"/>
      <c r="X15" s="23"/>
      <c r="Y15" s="23"/>
    </row>
    <row r="16" spans="1:25" ht="158.4">
      <c r="A16" s="15">
        <v>15</v>
      </c>
      <c r="B16" s="2" t="s">
        <v>3762</v>
      </c>
      <c r="C16" s="420">
        <v>39906</v>
      </c>
      <c r="D16" s="113" t="s">
        <v>3763</v>
      </c>
      <c r="E16" s="2" t="s">
        <v>3764</v>
      </c>
      <c r="F16" s="23"/>
      <c r="G16" s="23"/>
      <c r="H16" s="23"/>
      <c r="I16" s="23"/>
      <c r="J16" s="23"/>
      <c r="K16" s="23"/>
      <c r="L16" s="23"/>
      <c r="M16" s="23"/>
      <c r="N16" s="23"/>
      <c r="O16" s="23"/>
      <c r="P16" s="23"/>
      <c r="Q16" s="23"/>
      <c r="R16" s="23"/>
      <c r="S16" s="23"/>
      <c r="T16" s="23"/>
      <c r="U16" s="23"/>
      <c r="V16" s="23"/>
      <c r="W16" s="23"/>
      <c r="X16" s="23"/>
      <c r="Y16" s="23"/>
    </row>
    <row r="17" spans="1:31" ht="72">
      <c r="A17" s="15">
        <v>16</v>
      </c>
      <c r="B17" s="2" t="s">
        <v>3765</v>
      </c>
      <c r="C17" s="420">
        <v>39937</v>
      </c>
      <c r="D17" s="113" t="s">
        <v>3766</v>
      </c>
      <c r="E17" s="2" t="s">
        <v>7</v>
      </c>
      <c r="F17" s="23"/>
      <c r="G17" s="23"/>
      <c r="H17" s="23"/>
      <c r="I17" s="23"/>
      <c r="J17" s="23"/>
      <c r="K17" s="23"/>
      <c r="L17" s="23"/>
      <c r="M17" s="23"/>
      <c r="N17" s="23"/>
      <c r="O17" s="23"/>
      <c r="P17" s="23"/>
      <c r="Q17" s="23"/>
      <c r="R17" s="23"/>
      <c r="S17" s="23"/>
      <c r="T17" s="23"/>
      <c r="U17" s="23"/>
      <c r="V17" s="23"/>
      <c r="W17" s="23"/>
      <c r="X17" s="23"/>
      <c r="Y17" s="23"/>
    </row>
    <row r="18" spans="1:31" ht="100.8">
      <c r="A18" s="15">
        <v>17</v>
      </c>
      <c r="B18" s="2" t="s">
        <v>3767</v>
      </c>
      <c r="C18" s="420">
        <v>39944</v>
      </c>
      <c r="D18" s="113" t="s">
        <v>3768</v>
      </c>
      <c r="E18" s="2" t="s">
        <v>7</v>
      </c>
      <c r="F18" s="23"/>
      <c r="G18" s="23"/>
      <c r="H18" s="23"/>
      <c r="I18" s="23"/>
      <c r="J18" s="23"/>
      <c r="K18" s="23"/>
      <c r="L18" s="23"/>
      <c r="M18" s="23"/>
      <c r="N18" s="23"/>
      <c r="O18" s="23"/>
      <c r="P18" s="23"/>
      <c r="Q18" s="23"/>
      <c r="R18" s="23"/>
      <c r="S18" s="23"/>
      <c r="T18" s="23"/>
      <c r="U18" s="23"/>
      <c r="V18" s="23"/>
      <c r="W18" s="23"/>
      <c r="X18" s="23"/>
      <c r="Y18" s="23"/>
    </row>
    <row r="19" spans="1:31" ht="100.8">
      <c r="A19" s="15">
        <v>18</v>
      </c>
      <c r="B19" s="2" t="s">
        <v>3769</v>
      </c>
      <c r="C19" s="420">
        <v>39954</v>
      </c>
      <c r="D19" s="113" t="s">
        <v>3770</v>
      </c>
      <c r="E19" s="2" t="s">
        <v>3771</v>
      </c>
      <c r="F19" s="23"/>
      <c r="G19" s="23"/>
      <c r="H19" s="23"/>
      <c r="I19" s="23"/>
      <c r="J19" s="23"/>
      <c r="K19" s="23"/>
      <c r="L19" s="23"/>
      <c r="M19" s="23"/>
      <c r="N19" s="23"/>
      <c r="O19" s="23"/>
      <c r="P19" s="23"/>
      <c r="Q19" s="23"/>
      <c r="R19" s="23"/>
      <c r="S19" s="23"/>
      <c r="T19" s="23"/>
      <c r="U19" s="23"/>
      <c r="V19" s="23"/>
      <c r="W19" s="23"/>
      <c r="X19" s="23"/>
      <c r="Y19" s="23"/>
    </row>
    <row r="20" spans="1:31" ht="100.8">
      <c r="A20" s="15">
        <v>19</v>
      </c>
      <c r="B20" s="2" t="s">
        <v>611</v>
      </c>
      <c r="C20" s="420">
        <v>39973</v>
      </c>
      <c r="D20" s="113" t="s">
        <v>3772</v>
      </c>
      <c r="E20" s="2" t="s">
        <v>3773</v>
      </c>
      <c r="F20" s="23"/>
      <c r="G20" s="23"/>
      <c r="H20" s="23"/>
      <c r="I20" s="23"/>
      <c r="J20" s="23"/>
      <c r="K20" s="23"/>
      <c r="L20" s="23"/>
      <c r="M20" s="23"/>
      <c r="N20" s="23"/>
      <c r="O20" s="23"/>
      <c r="P20" s="23"/>
      <c r="Q20" s="23"/>
      <c r="R20" s="23"/>
      <c r="S20" s="23"/>
      <c r="T20" s="23"/>
      <c r="U20" s="23"/>
      <c r="V20" s="23"/>
      <c r="W20" s="23"/>
      <c r="X20" s="23"/>
      <c r="Y20" s="23"/>
    </row>
    <row r="21" spans="1:31" ht="72">
      <c r="A21" s="15">
        <v>20</v>
      </c>
      <c r="B21" s="2" t="s">
        <v>3774</v>
      </c>
      <c r="C21" s="420">
        <v>39997</v>
      </c>
      <c r="D21" s="113" t="s">
        <v>3775</v>
      </c>
      <c r="E21" s="2" t="s">
        <v>3776</v>
      </c>
      <c r="F21" s="23"/>
      <c r="G21" s="23"/>
      <c r="H21" s="23"/>
      <c r="I21" s="23"/>
      <c r="J21" s="23"/>
      <c r="K21" s="23"/>
      <c r="L21" s="23"/>
      <c r="M21" s="23"/>
      <c r="N21" s="23"/>
      <c r="O21" s="23"/>
      <c r="P21" s="23"/>
      <c r="Q21" s="23"/>
      <c r="R21" s="23"/>
      <c r="S21" s="23"/>
      <c r="T21" s="23"/>
      <c r="U21" s="23"/>
      <c r="V21" s="23"/>
      <c r="W21" s="23"/>
      <c r="X21" s="23"/>
      <c r="Y21" s="23"/>
    </row>
    <row r="22" spans="1:31" ht="57.6">
      <c r="A22" s="15">
        <v>21</v>
      </c>
      <c r="B22" s="2" t="s">
        <v>3777</v>
      </c>
      <c r="C22" s="420">
        <v>40008</v>
      </c>
      <c r="D22" s="113" t="s">
        <v>3778</v>
      </c>
      <c r="E22" s="2" t="s">
        <v>3779</v>
      </c>
      <c r="F22" s="23"/>
      <c r="G22" s="23"/>
      <c r="H22" s="23"/>
      <c r="I22" s="23"/>
      <c r="J22" s="23"/>
      <c r="K22" s="23"/>
      <c r="L22" s="23"/>
      <c r="M22" s="23"/>
      <c r="N22" s="23"/>
      <c r="O22" s="23"/>
      <c r="P22" s="23"/>
      <c r="Q22" s="23"/>
      <c r="R22" s="23"/>
      <c r="S22" s="23"/>
      <c r="T22" s="23"/>
      <c r="U22" s="23"/>
      <c r="V22" s="23"/>
      <c r="W22" s="23"/>
      <c r="X22" s="23"/>
      <c r="Y22" s="23"/>
    </row>
    <row r="23" spans="1:31" ht="57.6">
      <c r="A23" s="15">
        <v>22</v>
      </c>
      <c r="B23" s="2" t="s">
        <v>3780</v>
      </c>
      <c r="C23" s="420">
        <v>40035</v>
      </c>
      <c r="D23" s="113" t="s">
        <v>3781</v>
      </c>
      <c r="E23" s="2" t="s">
        <v>3782</v>
      </c>
      <c r="F23" s="23"/>
      <c r="G23" s="23"/>
      <c r="H23" s="23"/>
      <c r="I23" s="23"/>
      <c r="J23" s="23"/>
      <c r="K23" s="23"/>
      <c r="L23" s="23"/>
      <c r="M23" s="23"/>
      <c r="N23" s="23"/>
      <c r="O23" s="23"/>
      <c r="P23" s="23"/>
      <c r="Q23" s="23"/>
      <c r="R23" s="23"/>
      <c r="S23" s="23"/>
      <c r="T23" s="23"/>
      <c r="U23" s="23"/>
      <c r="V23" s="23"/>
      <c r="W23" s="23"/>
      <c r="X23" s="23"/>
      <c r="Y23" s="23"/>
    </row>
    <row r="24" spans="1:31" ht="43.2">
      <c r="A24" s="15">
        <v>23</v>
      </c>
      <c r="B24" s="2" t="s">
        <v>3783</v>
      </c>
      <c r="C24" s="420">
        <v>40070</v>
      </c>
      <c r="D24" s="113" t="s">
        <v>3784</v>
      </c>
      <c r="E24" s="113" t="s">
        <v>3785</v>
      </c>
      <c r="F24" s="23"/>
      <c r="G24" s="23"/>
      <c r="H24" s="23"/>
      <c r="I24" s="23"/>
      <c r="J24" s="23"/>
      <c r="K24" s="23"/>
      <c r="L24" s="23"/>
      <c r="M24" s="23"/>
      <c r="N24" s="23"/>
      <c r="O24" s="23"/>
      <c r="P24" s="23"/>
      <c r="Q24" s="23"/>
      <c r="R24" s="23"/>
      <c r="S24" s="23"/>
      <c r="T24" s="23"/>
      <c r="U24" s="23"/>
      <c r="V24" s="23"/>
      <c r="W24" s="23"/>
      <c r="X24" s="23"/>
      <c r="Y24" s="23"/>
    </row>
    <row r="25" spans="1:31" ht="72">
      <c r="A25" s="15">
        <v>24</v>
      </c>
      <c r="B25" s="2" t="s">
        <v>3786</v>
      </c>
      <c r="C25" s="420">
        <v>40081</v>
      </c>
      <c r="D25" s="113" t="s">
        <v>3787</v>
      </c>
      <c r="E25" s="113" t="s">
        <v>3788</v>
      </c>
      <c r="F25" s="23"/>
      <c r="G25" s="23"/>
      <c r="H25" s="23"/>
      <c r="I25" s="23"/>
      <c r="J25" s="23"/>
      <c r="K25" s="23"/>
      <c r="L25" s="23"/>
      <c r="M25" s="23"/>
      <c r="N25" s="23"/>
      <c r="O25" s="23"/>
      <c r="P25" s="23"/>
      <c r="Q25" s="23"/>
      <c r="R25" s="23"/>
      <c r="S25" s="23"/>
      <c r="T25" s="23"/>
      <c r="U25" s="23"/>
      <c r="V25" s="23"/>
      <c r="W25" s="23"/>
      <c r="X25" s="23"/>
      <c r="Y25" s="23"/>
    </row>
    <row r="26" spans="1:31" ht="72">
      <c r="A26" s="15">
        <v>25</v>
      </c>
      <c r="B26" s="2" t="s">
        <v>3789</v>
      </c>
      <c r="C26" s="420">
        <v>40091</v>
      </c>
      <c r="D26" s="113" t="s">
        <v>3790</v>
      </c>
      <c r="E26" s="113" t="s">
        <v>3791</v>
      </c>
      <c r="F26" s="23"/>
      <c r="G26" s="23"/>
      <c r="H26" s="23"/>
      <c r="I26" s="23"/>
      <c r="J26" s="23"/>
      <c r="K26" s="23"/>
      <c r="L26" s="23"/>
      <c r="M26" s="23"/>
      <c r="N26" s="23"/>
      <c r="O26" s="23"/>
      <c r="P26" s="23"/>
      <c r="Q26" s="23"/>
      <c r="R26" s="23"/>
      <c r="S26" s="23"/>
      <c r="T26" s="23"/>
      <c r="U26" s="23"/>
      <c r="V26" s="23"/>
      <c r="W26" s="23"/>
      <c r="X26" s="23"/>
      <c r="Y26" s="23"/>
    </row>
    <row r="27" spans="1:31" ht="86.4">
      <c r="A27" s="15">
        <v>26</v>
      </c>
      <c r="B27" s="2" t="s">
        <v>3792</v>
      </c>
      <c r="C27" s="420">
        <v>40101</v>
      </c>
      <c r="D27" s="113" t="s">
        <v>3793</v>
      </c>
      <c r="E27" s="113" t="s">
        <v>836</v>
      </c>
      <c r="F27" s="23"/>
      <c r="G27" s="23"/>
      <c r="H27" s="23"/>
      <c r="I27" s="23"/>
      <c r="J27" s="23"/>
      <c r="K27" s="23"/>
      <c r="L27" s="23"/>
      <c r="M27" s="23"/>
      <c r="N27" s="23"/>
      <c r="O27" s="23"/>
      <c r="P27" s="23"/>
      <c r="Q27" s="23"/>
      <c r="R27" s="23"/>
      <c r="S27" s="23"/>
      <c r="T27" s="23"/>
      <c r="U27" s="23"/>
      <c r="V27" s="23"/>
      <c r="W27" s="23"/>
      <c r="X27" s="23"/>
      <c r="Y27" s="23"/>
    </row>
    <row r="28" spans="1:31" ht="57.6">
      <c r="A28" s="15">
        <v>27</v>
      </c>
      <c r="B28" s="2" t="s">
        <v>3794</v>
      </c>
      <c r="C28" s="420">
        <v>40107</v>
      </c>
      <c r="D28" s="113" t="s">
        <v>3795</v>
      </c>
      <c r="E28" s="113" t="s">
        <v>3796</v>
      </c>
      <c r="F28" s="23"/>
      <c r="G28" s="23"/>
      <c r="H28" s="23"/>
      <c r="I28" s="23"/>
      <c r="J28" s="23"/>
      <c r="K28" s="23"/>
      <c r="L28" s="23"/>
      <c r="M28" s="23"/>
      <c r="N28" s="23"/>
      <c r="O28" s="23"/>
      <c r="P28" s="23"/>
      <c r="Q28" s="23"/>
      <c r="R28" s="23"/>
      <c r="S28" s="23"/>
      <c r="T28" s="23"/>
      <c r="U28" s="23"/>
      <c r="V28" s="23"/>
      <c r="W28" s="23"/>
      <c r="X28" s="23"/>
      <c r="Y28" s="23"/>
    </row>
    <row r="29" spans="1:31" ht="57.6">
      <c r="A29" s="15">
        <v>28</v>
      </c>
      <c r="B29" s="2" t="s">
        <v>3797</v>
      </c>
      <c r="C29" s="420">
        <v>40112</v>
      </c>
      <c r="D29" s="113" t="s">
        <v>3798</v>
      </c>
      <c r="E29" s="113" t="s">
        <v>3799</v>
      </c>
      <c r="F29" s="23"/>
      <c r="G29" s="23"/>
      <c r="H29" s="23"/>
      <c r="I29" s="23"/>
      <c r="J29" s="23"/>
      <c r="K29" s="23"/>
      <c r="L29" s="23"/>
      <c r="M29" s="23"/>
      <c r="N29" s="23"/>
      <c r="O29" s="23"/>
      <c r="P29" s="23"/>
      <c r="Q29" s="23"/>
      <c r="R29" s="23"/>
      <c r="S29" s="23"/>
      <c r="T29" s="23"/>
      <c r="U29" s="23"/>
      <c r="V29" s="23"/>
      <c r="W29" s="23"/>
      <c r="X29" s="23"/>
      <c r="Y29" s="23"/>
    </row>
    <row r="30" spans="1:31" ht="72">
      <c r="A30" s="15">
        <v>29</v>
      </c>
      <c r="B30" s="2" t="s">
        <v>3800</v>
      </c>
      <c r="C30" s="420">
        <v>40116</v>
      </c>
      <c r="D30" s="113" t="s">
        <v>3801</v>
      </c>
      <c r="E30" s="113" t="s">
        <v>3796</v>
      </c>
      <c r="F30" s="23"/>
      <c r="G30" s="23"/>
      <c r="H30" s="23"/>
      <c r="I30" s="23"/>
      <c r="J30" s="23"/>
      <c r="K30" s="23"/>
      <c r="L30" s="23"/>
      <c r="M30" s="23"/>
      <c r="N30" s="23"/>
      <c r="O30" s="23"/>
      <c r="P30" s="23"/>
      <c r="Q30" s="23"/>
      <c r="R30" s="23"/>
      <c r="S30" s="23"/>
      <c r="T30" s="23"/>
      <c r="U30" s="23"/>
      <c r="V30" s="23"/>
      <c r="W30" s="23"/>
      <c r="X30" s="23"/>
      <c r="Y30" s="23"/>
    </row>
    <row r="31" spans="1:31" ht="86.4">
      <c r="A31" s="15">
        <v>30</v>
      </c>
      <c r="B31" s="2" t="s">
        <v>3802</v>
      </c>
      <c r="C31" s="420">
        <v>40184</v>
      </c>
      <c r="D31" s="113" t="s">
        <v>3803</v>
      </c>
      <c r="E31" s="113" t="s">
        <v>3804</v>
      </c>
      <c r="F31" s="23"/>
      <c r="G31" s="23"/>
      <c r="H31" s="23"/>
      <c r="I31" s="23"/>
      <c r="J31" s="23"/>
      <c r="K31" s="23"/>
      <c r="L31" s="23"/>
      <c r="M31" s="23"/>
      <c r="N31" s="23"/>
      <c r="O31" s="23"/>
      <c r="P31" s="23"/>
      <c r="Q31" s="23"/>
      <c r="R31" s="23"/>
      <c r="S31" s="23"/>
      <c r="T31" s="23"/>
      <c r="U31" s="23"/>
      <c r="V31" s="23"/>
      <c r="W31" s="23"/>
      <c r="X31" s="23"/>
      <c r="Y31" s="23"/>
    </row>
    <row r="32" spans="1:31" ht="43.2">
      <c r="A32" s="15">
        <v>31</v>
      </c>
      <c r="B32" s="2" t="s">
        <v>3805</v>
      </c>
      <c r="C32" s="420">
        <v>40197</v>
      </c>
      <c r="D32" s="113" t="s">
        <v>3806</v>
      </c>
      <c r="E32" s="113" t="s">
        <v>3807</v>
      </c>
      <c r="F32" s="23"/>
      <c r="G32" s="23"/>
      <c r="H32" s="23"/>
      <c r="I32" s="23"/>
      <c r="J32" s="23"/>
      <c r="K32" s="23"/>
      <c r="L32" s="23"/>
      <c r="M32" s="23"/>
      <c r="N32" s="23"/>
      <c r="O32" s="23"/>
      <c r="P32" s="23"/>
      <c r="Q32" s="23"/>
      <c r="R32" s="23"/>
      <c r="S32" s="23"/>
      <c r="T32" s="23"/>
      <c r="U32" s="23"/>
      <c r="V32" s="23"/>
      <c r="W32" s="23"/>
      <c r="X32" s="23"/>
      <c r="Y32" s="23"/>
    </row>
    <row r="33" spans="1:25" ht="33.75" customHeight="1">
      <c r="A33" s="15">
        <v>32</v>
      </c>
      <c r="B33" s="2" t="s">
        <v>3808</v>
      </c>
      <c r="C33" s="420">
        <v>40203</v>
      </c>
      <c r="D33" s="113" t="s">
        <v>3809</v>
      </c>
      <c r="E33" s="113" t="s">
        <v>3810</v>
      </c>
      <c r="F33" s="23"/>
      <c r="G33" s="23"/>
      <c r="H33" s="23"/>
      <c r="I33" s="23"/>
      <c r="J33" s="23"/>
      <c r="K33" s="23"/>
      <c r="L33" s="23"/>
      <c r="M33" s="23"/>
      <c r="N33" s="23"/>
      <c r="O33" s="23"/>
      <c r="P33" s="23"/>
      <c r="Q33" s="23"/>
      <c r="R33" s="23"/>
      <c r="S33" s="23"/>
      <c r="T33" s="23"/>
      <c r="U33" s="23"/>
      <c r="V33" s="23"/>
      <c r="W33" s="23"/>
      <c r="X33" s="23"/>
      <c r="Y33" s="23"/>
    </row>
    <row r="34" spans="1:25" ht="33.75" customHeight="1">
      <c r="A34" s="15">
        <v>33</v>
      </c>
      <c r="B34" s="2" t="s">
        <v>3811</v>
      </c>
      <c r="C34" s="420">
        <v>40213</v>
      </c>
      <c r="D34" s="113" t="s">
        <v>3812</v>
      </c>
      <c r="E34" s="113" t="s">
        <v>3813</v>
      </c>
      <c r="F34" s="23"/>
      <c r="G34" s="23"/>
      <c r="H34" s="23"/>
      <c r="I34" s="23"/>
      <c r="J34" s="23"/>
      <c r="K34" s="23"/>
      <c r="L34" s="23"/>
      <c r="M34" s="23"/>
      <c r="N34" s="23"/>
      <c r="O34" s="23"/>
      <c r="P34" s="23"/>
      <c r="Q34" s="23"/>
      <c r="R34" s="23"/>
      <c r="S34" s="23"/>
      <c r="T34" s="23"/>
      <c r="U34" s="23"/>
      <c r="V34" s="23"/>
      <c r="W34" s="23"/>
      <c r="X34" s="23"/>
      <c r="Y34" s="23"/>
    </row>
    <row r="35" spans="1:25" ht="33.75" customHeight="1">
      <c r="A35" s="15">
        <v>34</v>
      </c>
      <c r="B35" s="2" t="s">
        <v>3814</v>
      </c>
      <c r="C35" s="420">
        <v>40235</v>
      </c>
      <c r="D35" s="113" t="s">
        <v>3815</v>
      </c>
      <c r="E35" s="113" t="s">
        <v>3816</v>
      </c>
      <c r="F35" s="23"/>
      <c r="G35" s="23"/>
      <c r="H35" s="23"/>
      <c r="I35" s="23"/>
      <c r="J35" s="23"/>
      <c r="K35" s="23"/>
      <c r="L35" s="23"/>
      <c r="M35" s="23"/>
      <c r="N35" s="23"/>
      <c r="O35" s="23"/>
      <c r="P35" s="23"/>
      <c r="Q35" s="23"/>
      <c r="R35" s="23"/>
      <c r="S35" s="23"/>
      <c r="T35" s="23"/>
      <c r="U35" s="23"/>
      <c r="V35" s="23"/>
      <c r="W35" s="23"/>
      <c r="X35" s="23"/>
      <c r="Y35" s="23"/>
    </row>
    <row r="36" spans="1:25" ht="33.75" customHeight="1">
      <c r="A36" s="15">
        <v>35</v>
      </c>
      <c r="B36" s="2" t="s">
        <v>3817</v>
      </c>
      <c r="C36" s="420">
        <v>40252</v>
      </c>
      <c r="D36" s="113" t="s">
        <v>3818</v>
      </c>
      <c r="E36" s="113" t="s">
        <v>3776</v>
      </c>
      <c r="F36" s="23"/>
      <c r="G36" s="23"/>
      <c r="H36" s="23"/>
      <c r="I36" s="23"/>
      <c r="J36" s="23"/>
      <c r="K36" s="23"/>
      <c r="L36" s="23"/>
      <c r="M36" s="23"/>
      <c r="N36" s="23"/>
      <c r="O36" s="23"/>
      <c r="P36" s="23"/>
      <c r="Q36" s="23"/>
      <c r="R36" s="23"/>
      <c r="S36" s="23"/>
      <c r="T36" s="23"/>
      <c r="U36" s="23"/>
      <c r="V36" s="23"/>
      <c r="W36" s="23"/>
      <c r="X36" s="23"/>
      <c r="Y36" s="23"/>
    </row>
    <row r="37" spans="1:25" ht="33.75" customHeight="1">
      <c r="A37" s="15">
        <v>36</v>
      </c>
      <c r="B37" s="2" t="s">
        <v>3819</v>
      </c>
      <c r="C37" s="420">
        <v>40260</v>
      </c>
      <c r="D37" s="113" t="s">
        <v>3820</v>
      </c>
      <c r="E37" s="113" t="s">
        <v>1880</v>
      </c>
      <c r="F37" s="23"/>
      <c r="G37" s="23"/>
      <c r="H37" s="23"/>
      <c r="I37" s="23"/>
      <c r="J37" s="23"/>
      <c r="K37" s="23"/>
      <c r="L37" s="23"/>
      <c r="M37" s="23"/>
      <c r="N37" s="23"/>
      <c r="O37" s="23"/>
      <c r="P37" s="23"/>
      <c r="Q37" s="23"/>
      <c r="R37" s="23"/>
      <c r="S37" s="23"/>
      <c r="T37" s="23"/>
      <c r="U37" s="23"/>
      <c r="V37" s="23"/>
      <c r="W37" s="23"/>
      <c r="X37" s="23"/>
      <c r="Y37" s="23"/>
    </row>
    <row r="38" spans="1:25" ht="33.75" customHeight="1">
      <c r="A38" s="15">
        <v>37</v>
      </c>
      <c r="B38" s="2" t="s">
        <v>3821</v>
      </c>
      <c r="C38" s="420">
        <v>40270</v>
      </c>
      <c r="D38" s="113" t="s">
        <v>3822</v>
      </c>
      <c r="E38" s="113" t="s">
        <v>3823</v>
      </c>
      <c r="F38" s="23"/>
      <c r="G38" s="23"/>
      <c r="H38" s="23"/>
      <c r="I38" s="23"/>
      <c r="J38" s="23"/>
      <c r="K38" s="23"/>
      <c r="L38" s="23"/>
      <c r="M38" s="23"/>
      <c r="N38" s="23"/>
      <c r="O38" s="23"/>
      <c r="P38" s="23"/>
      <c r="Q38" s="23"/>
      <c r="R38" s="23"/>
      <c r="S38" s="23"/>
      <c r="T38" s="23"/>
      <c r="U38" s="23"/>
      <c r="V38" s="23"/>
      <c r="W38" s="23"/>
      <c r="X38" s="23"/>
      <c r="Y38" s="23"/>
    </row>
    <row r="39" spans="1:25" ht="33.75" customHeight="1">
      <c r="A39" s="15">
        <v>38</v>
      </c>
      <c r="B39" s="2" t="s">
        <v>3824</v>
      </c>
      <c r="C39" s="420">
        <v>40270</v>
      </c>
      <c r="D39" s="113" t="s">
        <v>3825</v>
      </c>
      <c r="E39" s="113" t="s">
        <v>3826</v>
      </c>
      <c r="F39" s="23"/>
      <c r="G39" s="23"/>
      <c r="H39" s="23"/>
      <c r="I39" s="23"/>
      <c r="J39" s="23"/>
      <c r="K39" s="23"/>
      <c r="L39" s="23"/>
      <c r="M39" s="23"/>
      <c r="N39" s="23"/>
      <c r="O39" s="23"/>
      <c r="P39" s="23"/>
      <c r="Q39" s="23"/>
      <c r="R39" s="23"/>
      <c r="S39" s="23"/>
      <c r="T39" s="23"/>
      <c r="U39" s="23"/>
      <c r="V39" s="23"/>
      <c r="W39" s="23"/>
      <c r="X39" s="23"/>
      <c r="Y39" s="23"/>
    </row>
    <row r="40" spans="1:25" ht="33.75" customHeight="1">
      <c r="A40" s="15">
        <v>39</v>
      </c>
      <c r="B40" s="2" t="s">
        <v>3827</v>
      </c>
      <c r="C40" s="420">
        <v>40288</v>
      </c>
      <c r="D40" s="113" t="s">
        <v>3828</v>
      </c>
      <c r="E40" s="113" t="s">
        <v>3829</v>
      </c>
      <c r="F40" s="23"/>
      <c r="G40" s="23"/>
      <c r="H40" s="23"/>
      <c r="I40" s="23"/>
      <c r="J40" s="23"/>
      <c r="K40" s="23"/>
      <c r="L40" s="23"/>
      <c r="M40" s="23"/>
      <c r="N40" s="23"/>
      <c r="O40" s="23"/>
      <c r="P40" s="23"/>
      <c r="Q40" s="23"/>
      <c r="R40" s="23"/>
      <c r="S40" s="23"/>
      <c r="T40" s="23"/>
      <c r="U40" s="23"/>
      <c r="V40" s="23"/>
      <c r="W40" s="23"/>
      <c r="X40" s="23"/>
      <c r="Y40" s="23"/>
    </row>
    <row r="41" spans="1:25" ht="33.75" customHeight="1">
      <c r="A41" s="15">
        <v>40</v>
      </c>
      <c r="B41" s="2" t="s">
        <v>3830</v>
      </c>
      <c r="C41" s="420">
        <v>40301</v>
      </c>
      <c r="D41" s="113" t="s">
        <v>3831</v>
      </c>
      <c r="E41" s="113" t="s">
        <v>2937</v>
      </c>
      <c r="F41" s="23"/>
      <c r="G41" s="23"/>
      <c r="H41" s="23"/>
      <c r="I41" s="23"/>
      <c r="J41" s="23"/>
      <c r="K41" s="23"/>
      <c r="L41" s="23"/>
      <c r="M41" s="23"/>
      <c r="N41" s="23"/>
      <c r="O41" s="23"/>
      <c r="P41" s="23"/>
      <c r="Q41" s="23"/>
      <c r="R41" s="23"/>
      <c r="S41" s="23"/>
      <c r="T41" s="23"/>
      <c r="U41" s="23"/>
      <c r="V41" s="23"/>
      <c r="W41" s="23"/>
      <c r="X41" s="23"/>
      <c r="Y41" s="23"/>
    </row>
    <row r="42" spans="1:25" ht="33.75" customHeight="1">
      <c r="A42" s="15">
        <v>41</v>
      </c>
      <c r="B42" s="2" t="s">
        <v>3832</v>
      </c>
      <c r="C42" s="420">
        <v>40302</v>
      </c>
      <c r="D42" s="113" t="s">
        <v>3833</v>
      </c>
      <c r="E42" s="113" t="s">
        <v>3834</v>
      </c>
      <c r="F42" s="23"/>
      <c r="G42" s="23"/>
      <c r="H42" s="23"/>
      <c r="I42" s="23"/>
      <c r="J42" s="23"/>
      <c r="K42" s="23"/>
      <c r="L42" s="23"/>
      <c r="M42" s="23"/>
      <c r="N42" s="23"/>
      <c r="O42" s="23"/>
      <c r="P42" s="23"/>
      <c r="Q42" s="23"/>
      <c r="R42" s="23"/>
      <c r="S42" s="23"/>
      <c r="T42" s="23"/>
      <c r="U42" s="23"/>
      <c r="V42" s="23"/>
      <c r="W42" s="23"/>
      <c r="X42" s="23"/>
      <c r="Y42" s="23"/>
    </row>
    <row r="43" spans="1:25" ht="33.75" customHeight="1">
      <c r="A43" s="15">
        <v>42</v>
      </c>
      <c r="B43" s="2" t="s">
        <v>3835</v>
      </c>
      <c r="C43" s="420">
        <v>40309</v>
      </c>
      <c r="D43" s="113" t="s">
        <v>3836</v>
      </c>
      <c r="E43" s="113" t="s">
        <v>7</v>
      </c>
      <c r="F43" s="23"/>
      <c r="G43" s="23"/>
      <c r="H43" s="23"/>
      <c r="I43" s="23"/>
      <c r="J43" s="23"/>
      <c r="K43" s="23"/>
      <c r="L43" s="23"/>
      <c r="M43" s="23"/>
      <c r="N43" s="23"/>
      <c r="O43" s="23"/>
      <c r="P43" s="23"/>
      <c r="Q43" s="23"/>
      <c r="R43" s="23"/>
      <c r="S43" s="23"/>
      <c r="T43" s="23"/>
      <c r="U43" s="23"/>
      <c r="V43" s="23"/>
      <c r="W43" s="23"/>
      <c r="X43" s="23"/>
      <c r="Y43" s="23"/>
    </row>
    <row r="44" spans="1:25" ht="33.75" customHeight="1">
      <c r="A44" s="15">
        <v>43</v>
      </c>
      <c r="B44" s="2" t="s">
        <v>3837</v>
      </c>
      <c r="C44" s="420">
        <v>40317</v>
      </c>
      <c r="D44" s="113" t="s">
        <v>3838</v>
      </c>
      <c r="E44" s="113" t="s">
        <v>3839</v>
      </c>
      <c r="F44" s="23"/>
      <c r="G44" s="23"/>
      <c r="H44" s="23"/>
      <c r="I44" s="23"/>
      <c r="J44" s="23"/>
      <c r="K44" s="23"/>
      <c r="L44" s="23"/>
      <c r="M44" s="23"/>
      <c r="N44" s="23"/>
      <c r="O44" s="23"/>
      <c r="P44" s="23"/>
      <c r="Q44" s="23"/>
      <c r="R44" s="23"/>
      <c r="S44" s="23"/>
      <c r="T44" s="23"/>
      <c r="U44" s="23"/>
      <c r="V44" s="23"/>
      <c r="W44" s="23"/>
      <c r="X44" s="23"/>
      <c r="Y44" s="23"/>
    </row>
    <row r="45" spans="1:25" ht="33.75" customHeight="1">
      <c r="A45" s="15">
        <v>44</v>
      </c>
      <c r="B45" s="2" t="s">
        <v>3840</v>
      </c>
      <c r="C45" s="420">
        <v>40325</v>
      </c>
      <c r="D45" s="113" t="s">
        <v>3841</v>
      </c>
      <c r="E45" s="113" t="s">
        <v>3842</v>
      </c>
      <c r="F45" s="23"/>
      <c r="G45" s="23"/>
      <c r="H45" s="23"/>
      <c r="I45" s="23"/>
      <c r="J45" s="23"/>
      <c r="K45" s="23"/>
      <c r="L45" s="23"/>
      <c r="M45" s="23"/>
      <c r="N45" s="23"/>
      <c r="O45" s="23"/>
      <c r="P45" s="23"/>
      <c r="Q45" s="23"/>
      <c r="R45" s="23"/>
      <c r="S45" s="23"/>
      <c r="T45" s="23"/>
      <c r="U45" s="23"/>
      <c r="V45" s="23"/>
      <c r="W45" s="23"/>
      <c r="X45" s="23"/>
      <c r="Y45" s="23"/>
    </row>
    <row r="46" spans="1:25" ht="33.75" customHeight="1">
      <c r="A46" s="15">
        <v>45</v>
      </c>
      <c r="B46" s="2" t="s">
        <v>3843</v>
      </c>
      <c r="C46" s="420">
        <v>40366</v>
      </c>
      <c r="D46" s="113" t="s">
        <v>3844</v>
      </c>
      <c r="E46" s="113" t="s">
        <v>3845</v>
      </c>
      <c r="F46" s="23"/>
      <c r="G46" s="23"/>
      <c r="H46" s="23"/>
      <c r="I46" s="23"/>
      <c r="J46" s="23"/>
      <c r="K46" s="23"/>
      <c r="L46" s="23"/>
      <c r="M46" s="23"/>
      <c r="N46" s="23"/>
      <c r="O46" s="23"/>
      <c r="P46" s="23"/>
      <c r="Q46" s="23"/>
      <c r="R46" s="23"/>
      <c r="S46" s="23"/>
      <c r="T46" s="23"/>
      <c r="U46" s="23"/>
      <c r="V46" s="23"/>
      <c r="W46" s="23"/>
      <c r="X46" s="23"/>
      <c r="Y46" s="23"/>
    </row>
    <row r="47" spans="1:25" ht="33.75" customHeight="1">
      <c r="A47" s="15">
        <v>46</v>
      </c>
      <c r="B47" s="2" t="s">
        <v>3846</v>
      </c>
      <c r="C47" s="420">
        <v>40372</v>
      </c>
      <c r="D47" s="113" t="s">
        <v>3847</v>
      </c>
      <c r="E47" s="113" t="s">
        <v>3845</v>
      </c>
      <c r="F47" s="23"/>
      <c r="G47" s="23"/>
      <c r="H47" s="23"/>
      <c r="I47" s="23"/>
      <c r="J47" s="23"/>
      <c r="K47" s="23"/>
      <c r="L47" s="23"/>
      <c r="M47" s="23"/>
      <c r="N47" s="23"/>
      <c r="O47" s="23"/>
      <c r="P47" s="23"/>
      <c r="Q47" s="23"/>
      <c r="R47" s="23"/>
      <c r="S47" s="23"/>
      <c r="T47" s="23"/>
      <c r="U47" s="23"/>
      <c r="V47" s="23"/>
      <c r="W47" s="23"/>
      <c r="X47" s="23"/>
      <c r="Y47" s="23"/>
    </row>
    <row r="48" spans="1:25" ht="158.4">
      <c r="A48" s="15">
        <v>47</v>
      </c>
      <c r="B48" s="2" t="s">
        <v>3848</v>
      </c>
      <c r="C48" s="420">
        <v>40375</v>
      </c>
      <c r="D48" s="113" t="s">
        <v>3849</v>
      </c>
      <c r="E48" s="113" t="s">
        <v>3845</v>
      </c>
      <c r="F48" s="23"/>
      <c r="G48" s="23"/>
      <c r="H48" s="23"/>
      <c r="I48" s="23"/>
      <c r="J48" s="23"/>
      <c r="K48" s="23"/>
      <c r="L48" s="23"/>
      <c r="M48" s="23"/>
      <c r="N48" s="23"/>
      <c r="O48" s="23"/>
      <c r="P48" s="23"/>
      <c r="Q48" s="23"/>
      <c r="R48" s="23"/>
      <c r="S48" s="23"/>
      <c r="T48" s="23"/>
      <c r="U48" s="23"/>
      <c r="V48" s="23"/>
      <c r="W48" s="23"/>
      <c r="X48" s="23"/>
      <c r="Y48" s="23"/>
    </row>
    <row r="49" spans="1:28" ht="216">
      <c r="A49" s="15">
        <v>48</v>
      </c>
      <c r="B49" s="2" t="s">
        <v>3850</v>
      </c>
      <c r="C49" s="420">
        <v>40382</v>
      </c>
      <c r="D49" s="113" t="s">
        <v>3851</v>
      </c>
      <c r="E49" s="113" t="s">
        <v>3845</v>
      </c>
      <c r="F49" s="23"/>
      <c r="G49" s="23"/>
      <c r="H49" s="23"/>
      <c r="I49" s="23"/>
      <c r="J49" s="23"/>
      <c r="K49" s="23"/>
      <c r="L49" s="23"/>
      <c r="M49" s="23"/>
      <c r="N49" s="23"/>
      <c r="O49" s="23"/>
      <c r="P49" s="23"/>
      <c r="Q49" s="23"/>
      <c r="R49" s="23"/>
      <c r="S49" s="23"/>
      <c r="T49" s="23"/>
      <c r="U49" s="23"/>
      <c r="V49" s="23"/>
      <c r="W49" s="23"/>
      <c r="X49" s="23"/>
      <c r="Y49" s="23"/>
    </row>
    <row r="50" spans="1:28" ht="33.75" customHeight="1">
      <c r="A50" s="15">
        <v>49</v>
      </c>
      <c r="B50" s="2" t="s">
        <v>3852</v>
      </c>
      <c r="C50" s="420">
        <v>40399</v>
      </c>
      <c r="D50" s="113" t="s">
        <v>3853</v>
      </c>
      <c r="E50" s="113" t="s">
        <v>1547</v>
      </c>
      <c r="F50" s="23"/>
      <c r="G50" s="23"/>
      <c r="H50" s="23"/>
      <c r="I50" s="23"/>
      <c r="J50" s="23"/>
      <c r="K50" s="23"/>
      <c r="L50" s="23"/>
      <c r="M50" s="23"/>
      <c r="N50" s="23"/>
      <c r="O50" s="23"/>
      <c r="P50" s="23"/>
      <c r="Q50" s="23"/>
      <c r="R50" s="23"/>
      <c r="S50" s="23"/>
      <c r="T50" s="23"/>
      <c r="U50" s="23"/>
      <c r="V50" s="23"/>
      <c r="W50" s="23"/>
      <c r="X50" s="23"/>
      <c r="Y50" s="23"/>
    </row>
    <row r="51" spans="1:28" ht="33.75" customHeight="1">
      <c r="A51" s="15">
        <v>50</v>
      </c>
      <c r="B51" s="2" t="s">
        <v>3854</v>
      </c>
      <c r="C51" s="420">
        <v>40427</v>
      </c>
      <c r="D51" s="113" t="s">
        <v>3855</v>
      </c>
      <c r="E51" s="113" t="s">
        <v>3856</v>
      </c>
      <c r="F51" s="23"/>
      <c r="G51" s="23"/>
      <c r="H51" s="23"/>
      <c r="I51" s="23"/>
      <c r="J51" s="23"/>
      <c r="K51" s="23"/>
      <c r="L51" s="23"/>
      <c r="M51" s="23"/>
      <c r="N51" s="23"/>
      <c r="O51" s="23"/>
      <c r="P51" s="23"/>
      <c r="Q51" s="23"/>
      <c r="R51" s="23"/>
      <c r="S51" s="23"/>
      <c r="T51" s="23"/>
      <c r="U51" s="23"/>
      <c r="V51" s="23"/>
      <c r="W51" s="23"/>
      <c r="X51" s="23"/>
      <c r="Y51" s="23"/>
    </row>
    <row r="52" spans="1:28" ht="33.75" customHeight="1">
      <c r="A52" s="15">
        <v>51</v>
      </c>
      <c r="B52" s="2" t="s">
        <v>3857</v>
      </c>
      <c r="C52" s="420">
        <v>40427</v>
      </c>
      <c r="D52" s="113" t="s">
        <v>3858</v>
      </c>
      <c r="E52" s="113" t="s">
        <v>3859</v>
      </c>
      <c r="F52" s="23"/>
      <c r="G52" s="23"/>
      <c r="H52" s="23"/>
      <c r="I52" s="23"/>
      <c r="J52" s="23"/>
      <c r="K52" s="23"/>
      <c r="L52" s="23"/>
      <c r="M52" s="23"/>
      <c r="N52" s="23"/>
      <c r="O52" s="23"/>
      <c r="P52" s="23"/>
      <c r="Q52" s="23"/>
      <c r="R52" s="23"/>
      <c r="S52" s="23"/>
      <c r="T52" s="23"/>
      <c r="U52" s="23"/>
      <c r="V52" s="23"/>
      <c r="W52" s="23"/>
      <c r="X52" s="23"/>
      <c r="Y52" s="23"/>
    </row>
    <row r="53" spans="1:28" ht="33.75" customHeight="1">
      <c r="A53" s="15">
        <v>52</v>
      </c>
      <c r="B53" s="2" t="s">
        <v>3860</v>
      </c>
      <c r="C53" s="420">
        <v>40430</v>
      </c>
      <c r="D53" s="113" t="s">
        <v>3861</v>
      </c>
      <c r="E53" s="113" t="s">
        <v>3862</v>
      </c>
      <c r="F53" s="23"/>
      <c r="G53" s="23"/>
      <c r="H53" s="23"/>
      <c r="I53" s="23"/>
      <c r="J53" s="23"/>
      <c r="K53" s="23"/>
      <c r="L53" s="23"/>
      <c r="M53" s="23"/>
      <c r="N53" s="23"/>
      <c r="O53" s="23"/>
      <c r="P53" s="23"/>
      <c r="Q53" s="23"/>
      <c r="R53" s="23"/>
      <c r="S53" s="23"/>
      <c r="T53" s="23"/>
      <c r="U53" s="23"/>
      <c r="V53" s="23"/>
      <c r="W53" s="23"/>
      <c r="X53" s="23"/>
      <c r="Y53" s="23"/>
    </row>
    <row r="54" spans="1:28" ht="33.75" customHeight="1">
      <c r="A54" s="15">
        <v>53</v>
      </c>
      <c r="B54" s="2" t="s">
        <v>3863</v>
      </c>
      <c r="C54" s="420">
        <v>40438</v>
      </c>
      <c r="D54" s="113" t="s">
        <v>3864</v>
      </c>
      <c r="E54" s="113" t="s">
        <v>3865</v>
      </c>
      <c r="F54" s="23"/>
      <c r="G54" s="23"/>
      <c r="H54" s="23"/>
      <c r="I54" s="23"/>
      <c r="J54" s="23"/>
      <c r="K54" s="23"/>
      <c r="L54" s="23"/>
      <c r="M54" s="23"/>
      <c r="N54" s="23"/>
      <c r="O54" s="23"/>
      <c r="P54" s="23"/>
      <c r="Q54" s="23"/>
      <c r="R54" s="23"/>
      <c r="S54" s="23"/>
      <c r="T54" s="23"/>
      <c r="U54" s="23"/>
      <c r="V54" s="23"/>
      <c r="W54" s="23"/>
      <c r="X54" s="23"/>
      <c r="Y54" s="23"/>
    </row>
    <row r="55" spans="1:28" ht="57.6">
      <c r="A55" s="15">
        <v>54</v>
      </c>
      <c r="B55" s="2" t="s">
        <v>3866</v>
      </c>
      <c r="C55" s="420">
        <v>40486</v>
      </c>
      <c r="D55" s="113" t="s">
        <v>3867</v>
      </c>
      <c r="E55" s="113" t="s">
        <v>3868</v>
      </c>
      <c r="F55" s="23"/>
      <c r="G55" s="23"/>
      <c r="H55" s="23"/>
      <c r="I55" s="23"/>
      <c r="J55" s="23"/>
      <c r="K55" s="23"/>
      <c r="L55" s="23"/>
      <c r="M55" s="23"/>
      <c r="N55" s="23"/>
      <c r="O55" s="23"/>
      <c r="P55" s="23"/>
      <c r="Q55" s="23"/>
      <c r="R55" s="23"/>
      <c r="S55" s="23"/>
      <c r="T55" s="23"/>
      <c r="U55" s="23"/>
      <c r="V55" s="23"/>
      <c r="W55" s="23"/>
      <c r="X55" s="23"/>
      <c r="Y55" s="23"/>
    </row>
    <row r="56" spans="1:28" ht="57.6">
      <c r="A56" s="15">
        <v>55</v>
      </c>
      <c r="B56" s="2" t="s">
        <v>3869</v>
      </c>
      <c r="C56" s="420">
        <v>40518</v>
      </c>
      <c r="D56" s="113" t="s">
        <v>3870</v>
      </c>
      <c r="E56" s="113" t="s">
        <v>290</v>
      </c>
      <c r="F56" s="23"/>
      <c r="G56" s="23"/>
      <c r="H56" s="23"/>
      <c r="I56" s="23"/>
      <c r="J56" s="23"/>
      <c r="K56" s="23"/>
      <c r="L56" s="23"/>
      <c r="M56" s="23"/>
      <c r="N56" s="23"/>
      <c r="O56" s="23"/>
      <c r="P56" s="23"/>
      <c r="Q56" s="23"/>
      <c r="R56" s="23"/>
      <c r="S56" s="23"/>
      <c r="T56" s="23"/>
      <c r="U56" s="23"/>
      <c r="V56" s="23"/>
      <c r="W56" s="23"/>
      <c r="X56" s="23"/>
      <c r="Y56" s="23"/>
    </row>
    <row r="57" spans="1:28" ht="33.75" customHeight="1">
      <c r="A57" s="15">
        <v>56</v>
      </c>
      <c r="B57" s="2" t="s">
        <v>3871</v>
      </c>
      <c r="C57" s="420">
        <v>40530</v>
      </c>
      <c r="D57" s="113" t="s">
        <v>3872</v>
      </c>
      <c r="E57" s="113" t="s">
        <v>290</v>
      </c>
      <c r="F57" s="23"/>
      <c r="G57" s="23"/>
      <c r="H57" s="23"/>
      <c r="I57" s="23"/>
      <c r="J57" s="23"/>
      <c r="K57" s="23"/>
      <c r="L57" s="23"/>
      <c r="M57" s="23"/>
      <c r="N57" s="23"/>
      <c r="O57" s="23"/>
      <c r="P57" s="23"/>
      <c r="Q57" s="23"/>
      <c r="R57" s="23"/>
      <c r="S57" s="23"/>
      <c r="T57" s="23"/>
      <c r="U57" s="23"/>
      <c r="V57" s="23"/>
      <c r="W57" s="23"/>
      <c r="X57" s="23"/>
      <c r="Y57" s="23"/>
    </row>
    <row r="58" spans="1:28" ht="33.75" customHeight="1">
      <c r="A58" s="15">
        <v>57</v>
      </c>
      <c r="B58" s="2" t="s">
        <v>3873</v>
      </c>
      <c r="C58" s="420">
        <v>40525</v>
      </c>
      <c r="D58" s="113" t="s">
        <v>3874</v>
      </c>
      <c r="E58" s="113" t="s">
        <v>3834</v>
      </c>
      <c r="F58" s="23"/>
      <c r="G58" s="23"/>
      <c r="H58" s="23"/>
      <c r="I58" s="23"/>
      <c r="J58" s="23"/>
      <c r="K58" s="23"/>
      <c r="L58" s="23"/>
      <c r="M58" s="23"/>
      <c r="N58" s="23"/>
      <c r="O58" s="23"/>
      <c r="P58" s="23"/>
      <c r="Q58" s="23"/>
      <c r="R58" s="23"/>
      <c r="S58" s="23"/>
      <c r="T58" s="23"/>
      <c r="U58" s="23"/>
      <c r="V58" s="23"/>
      <c r="W58" s="23"/>
      <c r="X58" s="23"/>
      <c r="Y58" s="23"/>
    </row>
    <row r="59" spans="1:28" ht="33.75" customHeight="1">
      <c r="A59" s="15">
        <v>58</v>
      </c>
      <c r="B59" s="2" t="s">
        <v>3875</v>
      </c>
      <c r="C59" s="420">
        <v>40539</v>
      </c>
      <c r="D59" s="113" t="s">
        <v>3876</v>
      </c>
      <c r="E59" s="113" t="s">
        <v>3834</v>
      </c>
      <c r="F59" s="23"/>
      <c r="G59" s="23"/>
      <c r="H59" s="23"/>
      <c r="I59" s="23"/>
      <c r="J59" s="23"/>
      <c r="K59" s="23"/>
      <c r="L59" s="23"/>
      <c r="M59" s="23"/>
      <c r="N59" s="23"/>
      <c r="O59" s="23"/>
      <c r="P59" s="23"/>
      <c r="Q59" s="23"/>
      <c r="R59" s="23"/>
      <c r="S59" s="23"/>
      <c r="T59" s="23"/>
      <c r="U59" s="23"/>
      <c r="V59" s="23"/>
      <c r="W59" s="23"/>
      <c r="X59" s="23"/>
      <c r="Y59" s="23"/>
    </row>
    <row r="60" spans="1:28" ht="33.75" customHeight="1">
      <c r="A60" s="15">
        <v>59</v>
      </c>
      <c r="B60" s="2" t="s">
        <v>3877</v>
      </c>
      <c r="C60" s="420">
        <v>40550</v>
      </c>
      <c r="D60" s="113" t="s">
        <v>3878</v>
      </c>
      <c r="E60" s="113" t="s">
        <v>3879</v>
      </c>
      <c r="F60" s="23"/>
      <c r="G60" s="23"/>
      <c r="H60" s="23"/>
      <c r="I60" s="23"/>
      <c r="J60" s="23"/>
      <c r="K60" s="23"/>
      <c r="L60" s="23"/>
      <c r="M60" s="23"/>
      <c r="N60" s="23"/>
      <c r="O60" s="23"/>
      <c r="P60" s="23"/>
      <c r="Q60" s="23"/>
      <c r="R60" s="23"/>
      <c r="S60" s="23"/>
      <c r="T60" s="23"/>
      <c r="U60" s="23"/>
      <c r="V60" s="23"/>
      <c r="W60" s="23"/>
      <c r="X60" s="23"/>
      <c r="Y60" s="23"/>
    </row>
    <row r="61" spans="1:28" ht="33.75" customHeight="1">
      <c r="A61" s="15">
        <v>60</v>
      </c>
      <c r="B61" s="2" t="s">
        <v>3880</v>
      </c>
      <c r="C61" s="420">
        <v>40562</v>
      </c>
      <c r="D61" s="113" t="s">
        <v>3881</v>
      </c>
      <c r="E61" s="113" t="s">
        <v>7</v>
      </c>
      <c r="F61" s="23"/>
      <c r="G61" s="23"/>
      <c r="H61" s="23"/>
      <c r="I61" s="23"/>
      <c r="J61" s="23"/>
      <c r="K61" s="23"/>
      <c r="L61" s="23"/>
      <c r="M61" s="23"/>
      <c r="N61" s="23"/>
      <c r="O61" s="23"/>
      <c r="P61" s="23"/>
      <c r="Q61" s="23"/>
      <c r="R61" s="23"/>
      <c r="S61" s="23"/>
      <c r="T61" s="23"/>
      <c r="U61" s="23"/>
      <c r="V61" s="23"/>
      <c r="W61" s="23"/>
      <c r="X61" s="23"/>
      <c r="Y61" s="23"/>
    </row>
    <row r="62" spans="1:28" ht="33.75" customHeight="1">
      <c r="A62" s="15">
        <v>61</v>
      </c>
      <c r="B62" s="2" t="s">
        <v>3882</v>
      </c>
      <c r="C62" s="420">
        <v>40589</v>
      </c>
      <c r="D62" s="113" t="s">
        <v>3883</v>
      </c>
      <c r="E62" s="113" t="s">
        <v>3884</v>
      </c>
      <c r="F62" s="23"/>
      <c r="G62" s="23"/>
      <c r="H62" s="23"/>
      <c r="I62" s="23"/>
      <c r="J62" s="23"/>
      <c r="K62" s="23"/>
      <c r="L62" s="23"/>
      <c r="M62" s="23"/>
      <c r="N62" s="23"/>
      <c r="O62" s="23"/>
      <c r="P62" s="23"/>
      <c r="Q62" s="23"/>
      <c r="R62" s="23"/>
      <c r="S62" s="23"/>
      <c r="T62" s="23"/>
      <c r="U62" s="23"/>
      <c r="V62" s="23"/>
      <c r="W62" s="23"/>
      <c r="X62" s="23"/>
      <c r="Y62" s="23"/>
    </row>
    <row r="63" spans="1:28" ht="33.75" customHeight="1">
      <c r="A63" s="15">
        <v>62</v>
      </c>
      <c r="B63" s="2" t="s">
        <v>3885</v>
      </c>
      <c r="C63" s="420">
        <v>40665</v>
      </c>
      <c r="D63" s="113" t="s">
        <v>3886</v>
      </c>
      <c r="E63" s="113" t="s">
        <v>3887</v>
      </c>
      <c r="F63" s="23"/>
      <c r="G63" s="23"/>
      <c r="H63" s="23"/>
      <c r="I63" s="23"/>
      <c r="J63" s="23"/>
      <c r="K63" s="23"/>
      <c r="L63" s="23"/>
      <c r="M63" s="23"/>
      <c r="N63" s="23"/>
      <c r="O63" s="23"/>
      <c r="P63" s="23"/>
      <c r="Q63" s="23"/>
      <c r="R63" s="23"/>
      <c r="S63" s="23"/>
      <c r="T63" s="23"/>
      <c r="U63" s="23"/>
      <c r="V63" s="23"/>
      <c r="W63" s="23"/>
      <c r="X63" s="23"/>
      <c r="Y63" s="23"/>
    </row>
    <row r="64" spans="1:28" ht="33.75" customHeight="1">
      <c r="A64" s="15">
        <v>63</v>
      </c>
      <c r="B64" s="2" t="s">
        <v>3888</v>
      </c>
      <c r="C64" s="420">
        <v>40668</v>
      </c>
      <c r="D64" s="113" t="s">
        <v>3889</v>
      </c>
      <c r="E64" s="113" t="s">
        <v>3890</v>
      </c>
      <c r="F64" s="23"/>
      <c r="G64" s="23"/>
      <c r="H64" s="23"/>
      <c r="I64" s="23"/>
      <c r="J64" s="23"/>
      <c r="K64" s="23"/>
      <c r="L64" s="23"/>
      <c r="M64" s="23"/>
      <c r="N64" s="23"/>
      <c r="O64" s="23"/>
      <c r="P64" s="23"/>
      <c r="Q64" s="23"/>
      <c r="R64" s="23"/>
      <c r="S64" s="23"/>
      <c r="T64" s="23"/>
      <c r="U64" s="23"/>
      <c r="V64" s="23"/>
      <c r="W64" s="23"/>
      <c r="X64" s="23"/>
      <c r="Y64" s="23"/>
    </row>
    <row r="65" spans="1:31" ht="33.75" customHeight="1">
      <c r="A65" s="15">
        <v>64</v>
      </c>
      <c r="B65" s="2" t="s">
        <v>3891</v>
      </c>
      <c r="C65" s="420">
        <v>40669</v>
      </c>
      <c r="D65" s="113" t="s">
        <v>3892</v>
      </c>
      <c r="E65" s="113" t="s">
        <v>3893</v>
      </c>
      <c r="F65" s="23"/>
      <c r="G65" s="23"/>
      <c r="H65" s="23"/>
      <c r="I65" s="23"/>
      <c r="J65" s="23"/>
      <c r="K65" s="23"/>
      <c r="L65" s="23"/>
      <c r="M65" s="23"/>
      <c r="N65" s="23"/>
      <c r="O65" s="23"/>
      <c r="P65" s="23"/>
      <c r="Q65" s="23"/>
      <c r="R65" s="23"/>
      <c r="S65" s="23"/>
      <c r="T65" s="23"/>
      <c r="U65" s="23"/>
      <c r="V65" s="23"/>
      <c r="W65" s="23"/>
      <c r="X65" s="23"/>
      <c r="Y65" s="23"/>
    </row>
    <row r="66" spans="1:31" ht="33.75" customHeight="1">
      <c r="A66" s="15">
        <v>65</v>
      </c>
      <c r="B66" s="2" t="s">
        <v>3894</v>
      </c>
      <c r="C66" s="420">
        <v>40672</v>
      </c>
      <c r="D66" s="113" t="s">
        <v>3895</v>
      </c>
      <c r="E66" s="113" t="s">
        <v>3896</v>
      </c>
      <c r="F66" s="23"/>
      <c r="G66" s="23"/>
      <c r="H66" s="23"/>
      <c r="I66" s="23"/>
      <c r="J66" s="23"/>
      <c r="K66" s="23"/>
      <c r="L66" s="23"/>
      <c r="M66" s="23"/>
      <c r="N66" s="23"/>
      <c r="O66" s="23"/>
      <c r="P66" s="23"/>
      <c r="Q66" s="23"/>
      <c r="R66" s="23"/>
      <c r="S66" s="23"/>
      <c r="T66" s="23"/>
      <c r="U66" s="23"/>
      <c r="V66" s="23"/>
      <c r="W66" s="23"/>
      <c r="X66" s="23"/>
      <c r="Y66" s="23"/>
    </row>
    <row r="67" spans="1:31" ht="33.75" customHeight="1">
      <c r="A67" s="15">
        <v>66</v>
      </c>
      <c r="B67" s="2" t="s">
        <v>3897</v>
      </c>
      <c r="C67" s="420">
        <v>40674</v>
      </c>
      <c r="D67" s="113" t="s">
        <v>3898</v>
      </c>
      <c r="E67" s="113" t="s">
        <v>3899</v>
      </c>
      <c r="F67" s="23"/>
      <c r="G67" s="23"/>
      <c r="H67" s="23"/>
      <c r="I67" s="23"/>
      <c r="J67" s="23"/>
      <c r="K67" s="23"/>
      <c r="L67" s="23"/>
      <c r="M67" s="23"/>
      <c r="N67" s="23"/>
      <c r="O67" s="23"/>
      <c r="P67" s="23"/>
      <c r="Q67" s="23"/>
      <c r="R67" s="23"/>
      <c r="S67" s="23"/>
      <c r="T67" s="23"/>
      <c r="U67" s="23"/>
      <c r="V67" s="23"/>
      <c r="W67" s="23"/>
      <c r="X67" s="23"/>
      <c r="Y67" s="23"/>
    </row>
    <row r="68" spans="1:31" ht="33.75" customHeight="1">
      <c r="A68" s="15">
        <v>67</v>
      </c>
      <c r="B68" s="2" t="s">
        <v>3900</v>
      </c>
      <c r="C68" s="420">
        <v>40676</v>
      </c>
      <c r="D68" s="113" t="s">
        <v>3901</v>
      </c>
      <c r="E68" s="113" t="s">
        <v>3902</v>
      </c>
      <c r="F68" s="23"/>
      <c r="G68" s="23"/>
      <c r="H68" s="23"/>
      <c r="I68" s="23"/>
      <c r="J68" s="23"/>
      <c r="K68" s="23"/>
      <c r="L68" s="23"/>
      <c r="M68" s="23"/>
      <c r="N68" s="23"/>
      <c r="O68" s="23"/>
      <c r="P68" s="23"/>
      <c r="Q68" s="23"/>
      <c r="R68" s="23"/>
      <c r="S68" s="23"/>
      <c r="T68" s="23"/>
      <c r="U68" s="23"/>
      <c r="V68" s="23"/>
      <c r="W68" s="23"/>
      <c r="X68" s="23"/>
      <c r="Y68" s="23"/>
    </row>
    <row r="69" spans="1:31" ht="33.75" customHeight="1">
      <c r="A69" s="15">
        <v>68</v>
      </c>
      <c r="B69" s="2" t="s">
        <v>3903</v>
      </c>
      <c r="C69" s="420">
        <v>40686</v>
      </c>
      <c r="D69" s="113" t="s">
        <v>3904</v>
      </c>
      <c r="E69" s="113" t="s">
        <v>3905</v>
      </c>
      <c r="F69" s="23"/>
      <c r="G69" s="23"/>
      <c r="H69" s="23"/>
      <c r="I69" s="23"/>
      <c r="J69" s="23"/>
      <c r="K69" s="23"/>
      <c r="L69" s="23"/>
      <c r="M69" s="23"/>
      <c r="N69" s="23"/>
      <c r="O69" s="23"/>
      <c r="P69" s="23"/>
      <c r="Q69" s="23"/>
      <c r="R69" s="23"/>
      <c r="S69" s="23"/>
      <c r="T69" s="23"/>
      <c r="U69" s="23"/>
      <c r="V69" s="23"/>
      <c r="W69" s="23"/>
      <c r="X69" s="23"/>
      <c r="Y69" s="23"/>
    </row>
    <row r="70" spans="1:31" ht="33.75" customHeight="1">
      <c r="A70" s="15">
        <v>69</v>
      </c>
      <c r="B70" s="2" t="s">
        <v>3906</v>
      </c>
      <c r="C70" s="420">
        <v>40689</v>
      </c>
      <c r="D70" s="113" t="s">
        <v>3907</v>
      </c>
      <c r="E70" s="113" t="s">
        <v>3908</v>
      </c>
      <c r="F70" s="23"/>
      <c r="G70" s="23"/>
      <c r="H70" s="23"/>
      <c r="I70" s="23"/>
      <c r="J70" s="23"/>
      <c r="K70" s="23"/>
      <c r="L70" s="23"/>
      <c r="M70" s="23"/>
      <c r="N70" s="23"/>
      <c r="O70" s="23"/>
      <c r="P70" s="23"/>
      <c r="Q70" s="23"/>
      <c r="R70" s="23"/>
      <c r="S70" s="23"/>
      <c r="T70" s="23"/>
      <c r="U70" s="23"/>
      <c r="V70" s="23"/>
      <c r="W70" s="23"/>
      <c r="X70" s="23"/>
      <c r="Y70" s="23"/>
    </row>
    <row r="71" spans="1:31" ht="33.75" customHeight="1">
      <c r="A71" s="15">
        <v>70</v>
      </c>
      <c r="B71" s="2" t="s">
        <v>3909</v>
      </c>
      <c r="C71" s="420">
        <v>40693</v>
      </c>
      <c r="D71" s="113" t="s">
        <v>3910</v>
      </c>
      <c r="E71" s="113" t="s">
        <v>3911</v>
      </c>
      <c r="F71" s="23"/>
      <c r="G71" s="23"/>
      <c r="H71" s="23"/>
      <c r="I71" s="23"/>
      <c r="J71" s="23"/>
      <c r="K71" s="23"/>
      <c r="L71" s="23"/>
      <c r="M71" s="23"/>
      <c r="N71" s="23"/>
      <c r="O71" s="23"/>
      <c r="P71" s="23"/>
      <c r="Q71" s="23"/>
      <c r="R71" s="23"/>
      <c r="S71" s="23"/>
      <c r="T71" s="23"/>
      <c r="U71" s="23"/>
      <c r="V71" s="23"/>
      <c r="W71" s="23"/>
      <c r="X71" s="23"/>
      <c r="Y71" s="23"/>
    </row>
    <row r="72" spans="1:31" ht="33.75" customHeight="1">
      <c r="A72" s="15">
        <v>71</v>
      </c>
      <c r="B72" s="2" t="s">
        <v>3912</v>
      </c>
      <c r="C72" s="420">
        <v>40736</v>
      </c>
      <c r="D72" s="113" t="s">
        <v>3913</v>
      </c>
      <c r="E72" s="113" t="s">
        <v>3914</v>
      </c>
      <c r="F72" s="23"/>
      <c r="G72" s="23"/>
      <c r="H72" s="23"/>
      <c r="I72" s="23"/>
      <c r="J72" s="23"/>
      <c r="K72" s="23"/>
      <c r="L72" s="23"/>
      <c r="M72" s="23"/>
      <c r="N72" s="23"/>
      <c r="O72" s="23"/>
      <c r="P72" s="23"/>
      <c r="Q72" s="23"/>
      <c r="R72" s="23"/>
      <c r="S72" s="23"/>
      <c r="T72" s="23"/>
      <c r="U72" s="23"/>
      <c r="V72" s="23"/>
      <c r="W72" s="23"/>
      <c r="X72" s="23"/>
      <c r="Y72" s="23"/>
    </row>
    <row r="73" spans="1:31" ht="33.75" customHeight="1">
      <c r="A73" s="15">
        <v>72</v>
      </c>
      <c r="B73" s="2" t="s">
        <v>3915</v>
      </c>
      <c r="C73" s="420">
        <v>40749</v>
      </c>
      <c r="D73" s="113" t="s">
        <v>3916</v>
      </c>
      <c r="E73" s="113" t="s">
        <v>3914</v>
      </c>
      <c r="F73" s="23"/>
      <c r="G73" s="23"/>
      <c r="H73" s="23"/>
      <c r="I73" s="23"/>
      <c r="J73" s="23"/>
      <c r="K73" s="23"/>
      <c r="L73" s="23"/>
      <c r="M73" s="23"/>
      <c r="N73" s="23"/>
      <c r="O73" s="23"/>
      <c r="P73" s="23"/>
      <c r="Q73" s="23"/>
      <c r="R73" s="23"/>
      <c r="S73" s="23"/>
      <c r="T73" s="23"/>
      <c r="U73" s="23"/>
      <c r="V73" s="23"/>
      <c r="W73" s="23"/>
      <c r="X73" s="23"/>
      <c r="Y73" s="23"/>
    </row>
    <row r="74" spans="1:31" ht="33.75" customHeight="1">
      <c r="A74" s="15">
        <v>73</v>
      </c>
      <c r="B74" s="2" t="s">
        <v>3917</v>
      </c>
      <c r="C74" s="420">
        <v>40753</v>
      </c>
      <c r="D74" s="113" t="s">
        <v>3918</v>
      </c>
      <c r="E74" s="113" t="s">
        <v>3914</v>
      </c>
      <c r="F74" s="23"/>
      <c r="G74" s="23"/>
      <c r="H74" s="23"/>
      <c r="I74" s="23"/>
      <c r="J74" s="23"/>
      <c r="K74" s="23"/>
      <c r="L74" s="23"/>
      <c r="M74" s="23"/>
      <c r="N74" s="23"/>
      <c r="O74" s="23"/>
      <c r="P74" s="23"/>
      <c r="Q74" s="23"/>
      <c r="R74" s="23"/>
      <c r="S74" s="23"/>
      <c r="T74" s="23"/>
      <c r="U74" s="23"/>
      <c r="V74" s="23"/>
      <c r="W74" s="23"/>
      <c r="X74" s="23"/>
      <c r="Y74" s="23"/>
    </row>
    <row r="75" spans="1:31" ht="33.75" customHeight="1">
      <c r="A75" s="15">
        <v>74</v>
      </c>
      <c r="B75" s="2" t="s">
        <v>3919</v>
      </c>
      <c r="C75" s="420">
        <v>40763</v>
      </c>
      <c r="D75" s="113" t="s">
        <v>3920</v>
      </c>
      <c r="E75" s="113" t="s">
        <v>3921</v>
      </c>
      <c r="F75" s="23"/>
      <c r="G75" s="23"/>
      <c r="H75" s="23"/>
      <c r="I75" s="23"/>
      <c r="J75" s="23"/>
      <c r="K75" s="23"/>
      <c r="L75" s="23"/>
      <c r="M75" s="23"/>
      <c r="N75" s="23"/>
      <c r="O75" s="23"/>
      <c r="P75" s="23"/>
      <c r="Q75" s="23"/>
      <c r="R75" s="23"/>
      <c r="S75" s="23"/>
      <c r="T75" s="23"/>
      <c r="U75" s="23"/>
      <c r="V75" s="23"/>
      <c r="W75" s="23"/>
      <c r="X75" s="23"/>
      <c r="Y75" s="23"/>
    </row>
    <row r="76" spans="1:31" ht="33.75" customHeight="1">
      <c r="A76" s="15">
        <v>75</v>
      </c>
      <c r="B76" s="2" t="s">
        <v>3922</v>
      </c>
      <c r="C76" s="420">
        <v>40800</v>
      </c>
      <c r="D76" s="113" t="s">
        <v>3923</v>
      </c>
      <c r="E76" s="113" t="s">
        <v>3924</v>
      </c>
      <c r="F76" s="23"/>
      <c r="G76" s="23"/>
      <c r="H76" s="23"/>
      <c r="I76" s="23"/>
      <c r="J76" s="23"/>
      <c r="K76" s="23"/>
      <c r="L76" s="23"/>
      <c r="M76" s="23"/>
      <c r="N76" s="23"/>
      <c r="O76" s="23"/>
      <c r="P76" s="23"/>
      <c r="Q76" s="23"/>
      <c r="R76" s="23"/>
      <c r="S76" s="23"/>
      <c r="T76" s="23"/>
      <c r="U76" s="23"/>
      <c r="V76" s="23"/>
      <c r="W76" s="23"/>
      <c r="X76" s="23"/>
      <c r="Y76" s="23"/>
      <c r="AE76" s="30"/>
    </row>
    <row r="77" spans="1:31" ht="33.75" customHeight="1">
      <c r="A77" s="15">
        <v>76</v>
      </c>
      <c r="B77" s="2" t="s">
        <v>3925</v>
      </c>
      <c r="C77" s="420">
        <v>40805</v>
      </c>
      <c r="D77" s="113" t="s">
        <v>3926</v>
      </c>
      <c r="E77" s="113" t="s">
        <v>3927</v>
      </c>
      <c r="F77" s="23"/>
      <c r="G77" s="23"/>
      <c r="H77" s="23"/>
      <c r="I77" s="23"/>
      <c r="J77" s="23"/>
      <c r="K77" s="23"/>
      <c r="L77" s="23"/>
      <c r="M77" s="23"/>
      <c r="N77" s="23"/>
      <c r="O77" s="23"/>
      <c r="P77" s="23"/>
      <c r="Q77" s="23"/>
      <c r="R77" s="23"/>
      <c r="S77" s="23"/>
      <c r="T77" s="23"/>
      <c r="U77" s="23"/>
      <c r="V77" s="23"/>
      <c r="W77" s="23"/>
      <c r="X77" s="23"/>
      <c r="Y77" s="23"/>
    </row>
    <row r="78" spans="1:31" ht="33.75" customHeight="1">
      <c r="A78" s="15">
        <v>77</v>
      </c>
      <c r="B78" s="2" t="s">
        <v>3928</v>
      </c>
      <c r="C78" s="420">
        <v>40809</v>
      </c>
      <c r="D78" s="113" t="s">
        <v>3929</v>
      </c>
      <c r="E78" s="113" t="s">
        <v>3927</v>
      </c>
      <c r="F78" s="23"/>
      <c r="G78" s="23"/>
      <c r="H78" s="23"/>
      <c r="I78" s="23"/>
      <c r="J78" s="23"/>
      <c r="K78" s="23"/>
      <c r="L78" s="23"/>
      <c r="M78" s="23"/>
      <c r="N78" s="23"/>
      <c r="O78" s="23"/>
      <c r="P78" s="23"/>
      <c r="Q78" s="23"/>
      <c r="R78" s="23"/>
      <c r="S78" s="23"/>
      <c r="T78" s="23"/>
      <c r="U78" s="23"/>
      <c r="V78" s="23"/>
      <c r="W78" s="23"/>
      <c r="X78" s="23"/>
      <c r="Y78" s="23"/>
    </row>
    <row r="79" spans="1:31" ht="33.75" customHeight="1">
      <c r="A79" s="15">
        <v>78</v>
      </c>
      <c r="B79" s="2" t="s">
        <v>3930</v>
      </c>
      <c r="C79" s="420">
        <v>40835</v>
      </c>
      <c r="D79" s="113" t="s">
        <v>3931</v>
      </c>
      <c r="E79" s="113" t="s">
        <v>3932</v>
      </c>
      <c r="F79" s="23"/>
      <c r="G79" s="23"/>
      <c r="H79" s="23"/>
      <c r="I79" s="23"/>
      <c r="J79" s="23"/>
      <c r="K79" s="23"/>
      <c r="L79" s="23"/>
      <c r="M79" s="23"/>
      <c r="N79" s="23"/>
      <c r="O79" s="23"/>
      <c r="P79" s="23"/>
      <c r="Q79" s="23"/>
      <c r="R79" s="23"/>
      <c r="S79" s="23"/>
      <c r="T79" s="23"/>
      <c r="U79" s="23"/>
      <c r="V79" s="23"/>
      <c r="W79" s="23"/>
      <c r="X79" s="23"/>
      <c r="Y79" s="23"/>
    </row>
    <row r="80" spans="1:31" ht="33.75" customHeight="1">
      <c r="A80" s="15">
        <v>79</v>
      </c>
      <c r="B80" s="2" t="s">
        <v>3933</v>
      </c>
      <c r="C80" s="420">
        <v>40851</v>
      </c>
      <c r="D80" s="113" t="s">
        <v>3934</v>
      </c>
      <c r="E80" s="113" t="s">
        <v>3935</v>
      </c>
      <c r="F80" s="23"/>
      <c r="G80" s="23"/>
      <c r="H80" s="23"/>
      <c r="I80" s="23"/>
      <c r="J80" s="23"/>
      <c r="K80" s="23"/>
      <c r="L80" s="23"/>
      <c r="M80" s="23"/>
      <c r="N80" s="23"/>
      <c r="O80" s="23"/>
      <c r="P80" s="23"/>
      <c r="Q80" s="23"/>
      <c r="R80" s="23"/>
      <c r="S80" s="23"/>
      <c r="T80" s="23"/>
      <c r="U80" s="23"/>
      <c r="V80" s="23"/>
      <c r="W80" s="23"/>
      <c r="X80" s="23"/>
      <c r="Y80" s="23"/>
    </row>
    <row r="81" spans="1:25" ht="33.75" customHeight="1">
      <c r="A81" s="15">
        <v>80</v>
      </c>
      <c r="B81" s="2" t="s">
        <v>3936</v>
      </c>
      <c r="C81" s="420">
        <v>40858</v>
      </c>
      <c r="D81" s="113" t="s">
        <v>3937</v>
      </c>
      <c r="E81" s="113" t="s">
        <v>1593</v>
      </c>
      <c r="F81" s="23"/>
      <c r="G81" s="23"/>
      <c r="H81" s="23"/>
      <c r="I81" s="23"/>
      <c r="J81" s="23"/>
      <c r="K81" s="23"/>
      <c r="L81" s="23"/>
      <c r="M81" s="23"/>
      <c r="N81" s="23"/>
      <c r="O81" s="23"/>
      <c r="P81" s="23"/>
      <c r="Q81" s="23"/>
      <c r="R81" s="23"/>
      <c r="S81" s="23"/>
      <c r="T81" s="23"/>
      <c r="U81" s="23"/>
      <c r="V81" s="23"/>
      <c r="W81" s="23"/>
      <c r="X81" s="23"/>
      <c r="Y81" s="23"/>
    </row>
    <row r="82" spans="1:25" ht="33.75" customHeight="1">
      <c r="A82" s="15">
        <v>81</v>
      </c>
      <c r="B82" s="2" t="s">
        <v>3938</v>
      </c>
      <c r="C82" s="420">
        <v>40865</v>
      </c>
      <c r="D82" s="113" t="s">
        <v>3939</v>
      </c>
      <c r="E82" s="113" t="s">
        <v>3940</v>
      </c>
      <c r="F82" s="23"/>
      <c r="G82" s="23"/>
      <c r="H82" s="23"/>
      <c r="I82" s="23"/>
      <c r="J82" s="23"/>
      <c r="K82" s="23"/>
      <c r="L82" s="23"/>
      <c r="M82" s="23"/>
      <c r="N82" s="23"/>
      <c r="O82" s="23"/>
      <c r="P82" s="23"/>
      <c r="Q82" s="23"/>
      <c r="R82" s="23"/>
      <c r="S82" s="23"/>
      <c r="T82" s="23"/>
      <c r="U82" s="23"/>
      <c r="V82" s="23"/>
      <c r="W82" s="23"/>
      <c r="X82" s="23"/>
      <c r="Y82" s="23"/>
    </row>
    <row r="83" spans="1:25" ht="33.75" customHeight="1">
      <c r="A83" s="15">
        <v>82</v>
      </c>
      <c r="B83" s="2" t="s">
        <v>3941</v>
      </c>
      <c r="C83" s="420">
        <v>40872</v>
      </c>
      <c r="D83" s="113" t="s">
        <v>3942</v>
      </c>
      <c r="E83" s="113" t="s">
        <v>3940</v>
      </c>
      <c r="F83" s="23"/>
      <c r="G83" s="23"/>
      <c r="H83" s="23"/>
      <c r="I83" s="23"/>
      <c r="J83" s="23"/>
      <c r="K83" s="23"/>
      <c r="L83" s="23"/>
      <c r="M83" s="23"/>
      <c r="N83" s="23"/>
      <c r="O83" s="23"/>
      <c r="P83" s="23"/>
      <c r="Q83" s="23"/>
      <c r="R83" s="23"/>
      <c r="S83" s="23"/>
      <c r="T83" s="23"/>
      <c r="U83" s="23"/>
      <c r="V83" s="23"/>
      <c r="W83" s="23"/>
      <c r="X83" s="23"/>
      <c r="Y83" s="23"/>
    </row>
    <row r="84" spans="1:25" ht="33.75" customHeight="1">
      <c r="A84" s="15">
        <v>83</v>
      </c>
      <c r="B84" s="2" t="s">
        <v>3943</v>
      </c>
      <c r="C84" s="420">
        <v>40877</v>
      </c>
      <c r="D84" s="113" t="s">
        <v>3944</v>
      </c>
      <c r="E84" s="113" t="s">
        <v>1514</v>
      </c>
      <c r="F84" s="23"/>
      <c r="G84" s="23"/>
      <c r="H84" s="23"/>
      <c r="I84" s="23"/>
      <c r="J84" s="23"/>
      <c r="K84" s="23"/>
      <c r="L84" s="23"/>
      <c r="M84" s="23"/>
      <c r="N84" s="23"/>
      <c r="O84" s="23"/>
      <c r="P84" s="23"/>
      <c r="Q84" s="23"/>
      <c r="R84" s="23"/>
      <c r="S84" s="23"/>
      <c r="T84" s="23"/>
      <c r="U84" s="23"/>
      <c r="V84" s="23"/>
      <c r="W84" s="23"/>
      <c r="X84" s="23"/>
      <c r="Y84" s="23"/>
    </row>
    <row r="85" spans="1:25" ht="33.75" customHeight="1">
      <c r="A85" s="15">
        <v>84</v>
      </c>
      <c r="B85" s="2" t="s">
        <v>3945</v>
      </c>
      <c r="C85" s="420">
        <v>40882</v>
      </c>
      <c r="D85" s="113" t="s">
        <v>3946</v>
      </c>
      <c r="E85" s="113" t="s">
        <v>3927</v>
      </c>
      <c r="F85" s="23"/>
      <c r="G85" s="23"/>
      <c r="H85" s="23"/>
      <c r="I85" s="23"/>
      <c r="J85" s="23"/>
      <c r="K85" s="23"/>
      <c r="L85" s="23"/>
      <c r="M85" s="23"/>
      <c r="N85" s="23"/>
      <c r="O85" s="23"/>
      <c r="P85" s="23"/>
      <c r="Q85" s="23"/>
      <c r="R85" s="23"/>
      <c r="S85" s="23"/>
      <c r="T85" s="23"/>
      <c r="U85" s="23"/>
      <c r="V85" s="23"/>
      <c r="W85" s="23"/>
      <c r="X85" s="23"/>
      <c r="Y85" s="23"/>
    </row>
    <row r="86" spans="1:25" ht="33.75" customHeight="1">
      <c r="A86" s="15">
        <v>85</v>
      </c>
      <c r="B86" s="2" t="s">
        <v>3947</v>
      </c>
      <c r="C86" s="420">
        <v>40891</v>
      </c>
      <c r="D86" s="113" t="s">
        <v>3948</v>
      </c>
      <c r="E86" s="113" t="s">
        <v>3949</v>
      </c>
      <c r="F86" s="23"/>
      <c r="G86" s="23"/>
      <c r="H86" s="23"/>
      <c r="I86" s="23"/>
      <c r="J86" s="23"/>
      <c r="K86" s="23"/>
      <c r="L86" s="23"/>
      <c r="M86" s="23"/>
      <c r="N86" s="23"/>
      <c r="O86" s="23"/>
      <c r="P86" s="23"/>
      <c r="Q86" s="23"/>
      <c r="R86" s="23"/>
      <c r="S86" s="23"/>
      <c r="T86" s="23"/>
      <c r="U86" s="23"/>
      <c r="V86" s="23"/>
      <c r="W86" s="23"/>
      <c r="X86" s="23"/>
      <c r="Y86" s="23"/>
    </row>
    <row r="87" spans="1:25" ht="33.75" customHeight="1">
      <c r="A87" s="15">
        <v>86</v>
      </c>
      <c r="B87" s="2" t="s">
        <v>3950</v>
      </c>
      <c r="C87" s="420">
        <v>40940</v>
      </c>
      <c r="D87" s="113" t="s">
        <v>3951</v>
      </c>
      <c r="E87" s="113" t="s">
        <v>1547</v>
      </c>
      <c r="F87" s="23"/>
      <c r="G87" s="23"/>
      <c r="H87" s="23"/>
      <c r="I87" s="23"/>
      <c r="J87" s="23"/>
      <c r="K87" s="23"/>
      <c r="L87" s="23"/>
      <c r="M87" s="23"/>
      <c r="N87" s="23"/>
      <c r="O87" s="23"/>
      <c r="P87" s="23"/>
      <c r="Q87" s="23"/>
      <c r="R87" s="23"/>
      <c r="S87" s="23"/>
      <c r="T87" s="23"/>
      <c r="U87" s="23"/>
      <c r="V87" s="23"/>
      <c r="W87" s="23"/>
      <c r="X87" s="23"/>
      <c r="Y87" s="23"/>
    </row>
    <row r="88" spans="1:25" ht="33.75" customHeight="1">
      <c r="A88" s="15">
        <v>87</v>
      </c>
      <c r="B88" s="2" t="s">
        <v>3952</v>
      </c>
      <c r="C88" s="420">
        <v>40941</v>
      </c>
      <c r="D88" s="113" t="s">
        <v>3953</v>
      </c>
      <c r="E88" s="113" t="s">
        <v>1547</v>
      </c>
      <c r="F88" s="23"/>
      <c r="G88" s="23"/>
      <c r="H88" s="23"/>
      <c r="I88" s="23"/>
      <c r="J88" s="23"/>
      <c r="K88" s="23"/>
      <c r="L88" s="23"/>
      <c r="M88" s="23"/>
      <c r="N88" s="23"/>
      <c r="O88" s="23"/>
      <c r="P88" s="23"/>
      <c r="Q88" s="23"/>
      <c r="R88" s="23"/>
      <c r="S88" s="23"/>
      <c r="T88" s="23"/>
      <c r="U88" s="23"/>
      <c r="V88" s="23"/>
      <c r="W88" s="23"/>
      <c r="X88" s="23"/>
      <c r="Y88" s="23"/>
    </row>
    <row r="89" spans="1:25" ht="33.75" customHeight="1">
      <c r="A89" s="15">
        <v>88</v>
      </c>
      <c r="B89" s="2" t="s">
        <v>3954</v>
      </c>
      <c r="C89" s="420">
        <v>40942</v>
      </c>
      <c r="D89" s="113" t="s">
        <v>3955</v>
      </c>
      <c r="E89" s="113" t="s">
        <v>1547</v>
      </c>
      <c r="F89" s="23"/>
      <c r="G89" s="23"/>
      <c r="H89" s="23"/>
      <c r="I89" s="23"/>
      <c r="J89" s="23"/>
      <c r="K89" s="23"/>
      <c r="L89" s="23"/>
      <c r="M89" s="23"/>
      <c r="N89" s="23"/>
      <c r="O89" s="23"/>
      <c r="P89" s="23"/>
      <c r="Q89" s="23"/>
      <c r="R89" s="23"/>
      <c r="S89" s="23"/>
      <c r="T89" s="23"/>
      <c r="U89" s="23"/>
      <c r="V89" s="23"/>
      <c r="W89" s="23"/>
      <c r="X89" s="23"/>
      <c r="Y89" s="23"/>
    </row>
    <row r="90" spans="1:25" ht="33.75" customHeight="1">
      <c r="A90" s="15">
        <v>89</v>
      </c>
      <c r="B90" s="2" t="s">
        <v>3956</v>
      </c>
      <c r="C90" s="420">
        <v>40949</v>
      </c>
      <c r="D90" s="113" t="s">
        <v>3957</v>
      </c>
      <c r="E90" s="113" t="s">
        <v>3958</v>
      </c>
      <c r="F90" s="23"/>
      <c r="G90" s="23"/>
      <c r="H90" s="23"/>
      <c r="I90" s="23"/>
      <c r="J90" s="23"/>
      <c r="K90" s="23"/>
      <c r="L90" s="23"/>
      <c r="M90" s="23"/>
      <c r="N90" s="23"/>
      <c r="O90" s="23"/>
      <c r="P90" s="23"/>
      <c r="Q90" s="23"/>
      <c r="R90" s="23"/>
      <c r="S90" s="23"/>
      <c r="T90" s="23"/>
      <c r="U90" s="23"/>
      <c r="V90" s="23"/>
      <c r="W90" s="23"/>
      <c r="X90" s="23"/>
      <c r="Y90" s="23"/>
    </row>
    <row r="91" spans="1:25" ht="33.75" customHeight="1">
      <c r="A91" s="15">
        <v>90</v>
      </c>
      <c r="B91" s="2" t="s">
        <v>3959</v>
      </c>
      <c r="C91" s="420">
        <v>40977</v>
      </c>
      <c r="D91" s="113" t="s">
        <v>3960</v>
      </c>
      <c r="E91" s="113" t="s">
        <v>1593</v>
      </c>
      <c r="F91" s="23"/>
      <c r="G91" s="23"/>
      <c r="H91" s="23"/>
      <c r="I91" s="23"/>
      <c r="J91" s="23"/>
      <c r="K91" s="23"/>
      <c r="L91" s="23"/>
      <c r="M91" s="23"/>
      <c r="N91" s="23"/>
      <c r="O91" s="23"/>
      <c r="P91" s="23"/>
      <c r="Q91" s="23"/>
      <c r="R91" s="23"/>
      <c r="S91" s="23"/>
      <c r="T91" s="23"/>
      <c r="U91" s="23"/>
      <c r="V91" s="23"/>
      <c r="W91" s="23"/>
      <c r="X91" s="23"/>
      <c r="Y91" s="23"/>
    </row>
    <row r="92" spans="1:25" ht="33.75" customHeight="1">
      <c r="A92" s="15">
        <v>91</v>
      </c>
      <c r="B92" s="2" t="s">
        <v>3961</v>
      </c>
      <c r="C92" s="420">
        <v>40982</v>
      </c>
      <c r="D92" s="113" t="s">
        <v>3962</v>
      </c>
      <c r="E92" s="113" t="s">
        <v>3963</v>
      </c>
      <c r="F92" s="23"/>
      <c r="G92" s="23"/>
      <c r="H92" s="23"/>
      <c r="I92" s="23"/>
      <c r="J92" s="23"/>
      <c r="K92" s="23"/>
      <c r="L92" s="23"/>
      <c r="M92" s="23"/>
      <c r="N92" s="23"/>
      <c r="O92" s="23"/>
      <c r="P92" s="23"/>
      <c r="Q92" s="23"/>
      <c r="R92" s="23"/>
      <c r="S92" s="23"/>
      <c r="T92" s="23"/>
      <c r="U92" s="23"/>
      <c r="V92" s="23"/>
      <c r="W92" s="23"/>
      <c r="X92" s="23"/>
      <c r="Y92" s="23"/>
    </row>
    <row r="93" spans="1:25" ht="33.75" customHeight="1">
      <c r="A93" s="15">
        <v>92</v>
      </c>
      <c r="B93" s="2" t="s">
        <v>3964</v>
      </c>
      <c r="C93" s="420">
        <v>40988</v>
      </c>
      <c r="D93" s="113" t="s">
        <v>3965</v>
      </c>
      <c r="E93" s="113" t="s">
        <v>3966</v>
      </c>
      <c r="F93" s="23"/>
      <c r="G93" s="23"/>
      <c r="H93" s="23"/>
      <c r="I93" s="23"/>
      <c r="J93" s="23"/>
      <c r="K93" s="23"/>
      <c r="L93" s="23"/>
      <c r="M93" s="23"/>
      <c r="N93" s="23"/>
      <c r="O93" s="23"/>
      <c r="P93" s="23"/>
      <c r="Q93" s="23"/>
      <c r="R93" s="23"/>
      <c r="S93" s="23"/>
      <c r="T93" s="23"/>
      <c r="U93" s="23"/>
      <c r="V93" s="23"/>
      <c r="W93" s="23"/>
      <c r="X93" s="23"/>
      <c r="Y93" s="23"/>
    </row>
    <row r="94" spans="1:25" ht="33.75" customHeight="1">
      <c r="A94" s="15">
        <v>93</v>
      </c>
      <c r="B94" s="2" t="s">
        <v>3967</v>
      </c>
      <c r="C94" s="420">
        <v>40991</v>
      </c>
      <c r="D94" s="113" t="s">
        <v>3968</v>
      </c>
      <c r="E94" s="113" t="s">
        <v>3969</v>
      </c>
      <c r="F94" s="23"/>
      <c r="G94" s="23"/>
      <c r="H94" s="23"/>
      <c r="I94" s="23"/>
      <c r="J94" s="23"/>
      <c r="K94" s="23"/>
      <c r="L94" s="23"/>
      <c r="M94" s="23"/>
      <c r="N94" s="23"/>
      <c r="O94" s="23"/>
      <c r="P94" s="23"/>
      <c r="Q94" s="23"/>
      <c r="R94" s="23"/>
      <c r="S94" s="23"/>
      <c r="T94" s="23"/>
      <c r="U94" s="23"/>
      <c r="V94" s="23"/>
      <c r="W94" s="23"/>
      <c r="X94" s="23"/>
      <c r="Y94" s="23"/>
    </row>
    <row r="95" spans="1:25" ht="33.75" customHeight="1">
      <c r="A95" s="15">
        <v>94</v>
      </c>
      <c r="B95" s="2" t="s">
        <v>3970</v>
      </c>
      <c r="C95" s="420">
        <v>40997</v>
      </c>
      <c r="D95" s="113" t="s">
        <v>3971</v>
      </c>
      <c r="E95" s="113" t="s">
        <v>3972</v>
      </c>
      <c r="F95" s="23"/>
      <c r="G95" s="23"/>
      <c r="H95" s="23"/>
      <c r="I95" s="23"/>
      <c r="J95" s="23"/>
      <c r="K95" s="23"/>
      <c r="L95" s="23"/>
      <c r="M95" s="23"/>
      <c r="N95" s="23"/>
      <c r="O95" s="23"/>
      <c r="P95" s="23"/>
      <c r="Q95" s="23"/>
      <c r="R95" s="23"/>
      <c r="S95" s="23"/>
      <c r="T95" s="23"/>
      <c r="U95" s="23"/>
      <c r="V95" s="23"/>
      <c r="W95" s="23"/>
      <c r="X95" s="23"/>
      <c r="Y95" s="23"/>
    </row>
    <row r="96" spans="1:25" ht="33.75" customHeight="1">
      <c r="A96" s="15">
        <v>95</v>
      </c>
      <c r="B96" s="2" t="s">
        <v>3973</v>
      </c>
      <c r="C96" s="420">
        <v>41072</v>
      </c>
      <c r="D96" s="113" t="s">
        <v>3974</v>
      </c>
      <c r="E96" s="113" t="s">
        <v>3975</v>
      </c>
      <c r="F96" s="23"/>
      <c r="G96" s="23"/>
      <c r="H96" s="23"/>
      <c r="I96" s="23"/>
      <c r="J96" s="23"/>
      <c r="K96" s="23"/>
      <c r="L96" s="23"/>
      <c r="M96" s="23"/>
      <c r="N96" s="23"/>
      <c r="O96" s="23"/>
      <c r="P96" s="23"/>
      <c r="Q96" s="23"/>
      <c r="R96" s="23"/>
      <c r="S96" s="23"/>
      <c r="T96" s="23"/>
      <c r="U96" s="23"/>
      <c r="V96" s="23"/>
      <c r="W96" s="23"/>
      <c r="X96" s="23"/>
      <c r="Y96" s="23"/>
    </row>
    <row r="97" spans="1:25" ht="33.75" customHeight="1">
      <c r="A97" s="15">
        <v>96</v>
      </c>
      <c r="B97" s="2" t="s">
        <v>3976</v>
      </c>
      <c r="C97" s="420">
        <v>41117</v>
      </c>
      <c r="D97" s="113" t="s">
        <v>3977</v>
      </c>
      <c r="E97" s="113" t="s">
        <v>3978</v>
      </c>
      <c r="F97" s="23"/>
      <c r="G97" s="23"/>
      <c r="H97" s="23"/>
      <c r="I97" s="23"/>
      <c r="J97" s="23"/>
      <c r="K97" s="23"/>
      <c r="L97" s="23"/>
      <c r="M97" s="23"/>
      <c r="N97" s="23"/>
      <c r="O97" s="23"/>
      <c r="P97" s="23"/>
      <c r="Q97" s="23"/>
      <c r="R97" s="23"/>
      <c r="S97" s="23"/>
      <c r="T97" s="23"/>
      <c r="U97" s="23"/>
      <c r="V97" s="23"/>
      <c r="W97" s="23"/>
      <c r="X97" s="23"/>
      <c r="Y97" s="23"/>
    </row>
    <row r="98" spans="1:25" ht="33.75" customHeight="1">
      <c r="A98" s="15">
        <v>97</v>
      </c>
      <c r="B98" s="2" t="s">
        <v>3979</v>
      </c>
      <c r="C98" s="420">
        <v>41177</v>
      </c>
      <c r="D98" s="113" t="s">
        <v>3980</v>
      </c>
      <c r="E98" s="113" t="s">
        <v>3981</v>
      </c>
      <c r="F98" s="23"/>
      <c r="G98" s="23"/>
      <c r="H98" s="23"/>
      <c r="I98" s="23"/>
      <c r="J98" s="23"/>
      <c r="K98" s="23"/>
      <c r="L98" s="23"/>
      <c r="M98" s="23"/>
      <c r="N98" s="23"/>
      <c r="O98" s="23"/>
      <c r="P98" s="23"/>
      <c r="Q98" s="23"/>
      <c r="R98" s="23"/>
      <c r="S98" s="23"/>
      <c r="T98" s="23"/>
      <c r="U98" s="23"/>
      <c r="V98" s="23"/>
      <c r="W98" s="23"/>
      <c r="X98" s="23"/>
      <c r="Y98" s="23"/>
    </row>
    <row r="99" spans="1:25" ht="33.75" customHeight="1">
      <c r="A99" s="15">
        <v>98</v>
      </c>
      <c r="B99" s="2" t="s">
        <v>3982</v>
      </c>
      <c r="C99" s="420">
        <v>41178</v>
      </c>
      <c r="D99" s="113" t="s">
        <v>3983</v>
      </c>
      <c r="E99" s="113" t="s">
        <v>3981</v>
      </c>
      <c r="F99" s="23"/>
      <c r="G99" s="23"/>
      <c r="H99" s="23"/>
      <c r="I99" s="23"/>
      <c r="J99" s="23"/>
      <c r="K99" s="23"/>
      <c r="L99" s="23"/>
      <c r="M99" s="23"/>
      <c r="N99" s="23"/>
      <c r="O99" s="23"/>
      <c r="P99" s="23"/>
      <c r="Q99" s="23"/>
      <c r="R99" s="23"/>
      <c r="S99" s="23"/>
      <c r="T99" s="23"/>
      <c r="U99" s="23"/>
      <c r="V99" s="23"/>
      <c r="W99" s="23"/>
      <c r="X99" s="23"/>
      <c r="Y99" s="23"/>
    </row>
    <row r="100" spans="1:25" ht="33.75" customHeight="1">
      <c r="A100" s="15">
        <v>99</v>
      </c>
      <c r="B100" s="2" t="s">
        <v>3984</v>
      </c>
      <c r="C100" s="420">
        <v>41223</v>
      </c>
      <c r="D100" s="113" t="s">
        <v>3985</v>
      </c>
      <c r="E100" s="113" t="s">
        <v>3986</v>
      </c>
      <c r="F100" s="23"/>
      <c r="G100" s="23"/>
      <c r="H100" s="23"/>
      <c r="I100" s="23"/>
      <c r="J100" s="23"/>
      <c r="K100" s="23"/>
      <c r="L100" s="23"/>
      <c r="M100" s="23"/>
      <c r="N100" s="23"/>
      <c r="O100" s="23"/>
      <c r="P100" s="23"/>
      <c r="Q100" s="23"/>
      <c r="R100" s="23"/>
      <c r="S100" s="23"/>
      <c r="T100" s="23"/>
      <c r="U100" s="23"/>
      <c r="V100" s="23"/>
      <c r="W100" s="23"/>
      <c r="X100" s="23"/>
      <c r="Y100" s="23"/>
    </row>
    <row r="101" spans="1:25" ht="33.75" customHeight="1">
      <c r="A101" s="15">
        <v>100</v>
      </c>
      <c r="B101" s="2" t="s">
        <v>3987</v>
      </c>
      <c r="C101" s="420">
        <v>41224</v>
      </c>
      <c r="D101" s="113" t="s">
        <v>3988</v>
      </c>
      <c r="E101" s="113" t="s">
        <v>1593</v>
      </c>
      <c r="F101" s="23"/>
      <c r="G101" s="23"/>
      <c r="H101" s="23"/>
      <c r="I101" s="23"/>
      <c r="J101" s="23"/>
      <c r="K101" s="23"/>
      <c r="L101" s="23"/>
      <c r="M101" s="23"/>
      <c r="N101" s="23"/>
      <c r="O101" s="23"/>
      <c r="P101" s="23"/>
      <c r="Q101" s="23"/>
      <c r="R101" s="23"/>
      <c r="S101" s="23"/>
      <c r="T101" s="23"/>
      <c r="U101" s="23"/>
      <c r="V101" s="23"/>
      <c r="W101" s="23"/>
      <c r="X101" s="23"/>
      <c r="Y101" s="23"/>
    </row>
    <row r="102" spans="1:25" ht="33.75" customHeight="1">
      <c r="A102" s="15">
        <v>101</v>
      </c>
      <c r="B102" s="2" t="s">
        <v>3989</v>
      </c>
      <c r="C102" s="420">
        <v>41331</v>
      </c>
      <c r="D102" s="113" t="s">
        <v>3990</v>
      </c>
      <c r="E102" s="113" t="s">
        <v>3991</v>
      </c>
      <c r="F102" s="23"/>
      <c r="G102" s="23"/>
      <c r="H102" s="23"/>
      <c r="I102" s="23"/>
      <c r="J102" s="23"/>
      <c r="K102" s="23"/>
      <c r="L102" s="23"/>
      <c r="M102" s="23"/>
      <c r="N102" s="23"/>
      <c r="O102" s="23"/>
      <c r="P102" s="23"/>
      <c r="Q102" s="23"/>
      <c r="R102" s="23"/>
      <c r="S102" s="23"/>
      <c r="T102" s="23"/>
      <c r="U102" s="23"/>
      <c r="V102" s="23"/>
      <c r="W102" s="23"/>
      <c r="X102" s="23"/>
      <c r="Y102" s="23"/>
    </row>
    <row r="103" spans="1:25" ht="33.75" customHeight="1">
      <c r="A103" s="15">
        <v>102</v>
      </c>
      <c r="B103" s="2" t="s">
        <v>3992</v>
      </c>
      <c r="C103" s="420">
        <v>41334</v>
      </c>
      <c r="D103" s="113" t="s">
        <v>3993</v>
      </c>
      <c r="E103" s="113" t="s">
        <v>3994</v>
      </c>
      <c r="F103" s="23"/>
      <c r="G103" s="23"/>
      <c r="H103" s="23"/>
      <c r="I103" s="23"/>
      <c r="J103" s="23"/>
      <c r="K103" s="23"/>
      <c r="L103" s="23"/>
      <c r="M103" s="23"/>
      <c r="N103" s="23"/>
      <c r="O103" s="161"/>
      <c r="P103" s="23"/>
      <c r="Q103" s="23"/>
      <c r="R103" s="23"/>
      <c r="S103" s="23"/>
      <c r="T103" s="23"/>
      <c r="U103" s="23"/>
      <c r="V103" s="23"/>
      <c r="W103" s="23"/>
      <c r="X103" s="23"/>
      <c r="Y103" s="23"/>
    </row>
    <row r="104" spans="1:25" ht="33.75" customHeight="1">
      <c r="A104" s="15">
        <v>103</v>
      </c>
      <c r="B104" s="2" t="s">
        <v>3995</v>
      </c>
      <c r="C104" s="420">
        <v>41334</v>
      </c>
      <c r="D104" s="113" t="s">
        <v>3996</v>
      </c>
      <c r="E104" s="113" t="s">
        <v>3997</v>
      </c>
      <c r="F104" s="23"/>
      <c r="G104" s="23"/>
      <c r="H104" s="23"/>
      <c r="I104" s="23"/>
      <c r="J104" s="23"/>
      <c r="K104" s="23"/>
      <c r="L104" s="23"/>
      <c r="M104" s="23"/>
      <c r="N104" s="23"/>
      <c r="O104" s="161"/>
      <c r="P104" s="23"/>
      <c r="Q104" s="23"/>
      <c r="R104" s="23"/>
      <c r="S104" s="23"/>
      <c r="T104" s="23"/>
      <c r="U104" s="23"/>
      <c r="V104" s="23"/>
      <c r="W104" s="23"/>
      <c r="X104" s="23"/>
      <c r="Y104" s="23"/>
    </row>
    <row r="105" spans="1:25" ht="33.75" customHeight="1">
      <c r="A105" s="15">
        <v>104</v>
      </c>
      <c r="B105" s="2" t="s">
        <v>3998</v>
      </c>
      <c r="C105" s="420">
        <v>41346</v>
      </c>
      <c r="D105" s="113" t="s">
        <v>3999</v>
      </c>
      <c r="E105" s="113" t="s">
        <v>4000</v>
      </c>
      <c r="F105" s="23"/>
      <c r="G105" s="23"/>
      <c r="H105" s="23"/>
      <c r="I105" s="23"/>
      <c r="J105" s="23"/>
      <c r="K105" s="23"/>
      <c r="L105" s="23"/>
      <c r="M105" s="23"/>
      <c r="N105" s="23"/>
      <c r="O105" s="161"/>
      <c r="P105" s="23"/>
      <c r="Q105" s="23"/>
      <c r="R105" s="23"/>
      <c r="S105" s="23"/>
      <c r="T105" s="23"/>
      <c r="U105" s="23"/>
      <c r="V105" s="23"/>
      <c r="W105" s="23"/>
      <c r="X105" s="23"/>
      <c r="Y105" s="23"/>
    </row>
    <row r="106" spans="1:25" ht="33.75" customHeight="1">
      <c r="A106" s="15">
        <v>105</v>
      </c>
      <c r="B106" s="2" t="s">
        <v>4001</v>
      </c>
      <c r="C106" s="348">
        <v>41663</v>
      </c>
      <c r="D106" s="113" t="s">
        <v>4002</v>
      </c>
      <c r="E106" s="113" t="s">
        <v>4003</v>
      </c>
      <c r="F106" s="4"/>
      <c r="G106" s="4"/>
      <c r="H106" s="4"/>
      <c r="I106" s="4"/>
      <c r="J106" s="4"/>
      <c r="K106" s="4"/>
      <c r="L106" s="4"/>
      <c r="M106" s="4"/>
      <c r="N106" s="4"/>
      <c r="O106" s="4"/>
      <c r="P106" s="4"/>
      <c r="Q106" s="4"/>
      <c r="R106" s="4"/>
      <c r="S106" s="4"/>
      <c r="T106" s="4"/>
      <c r="U106" s="4"/>
      <c r="V106" s="4"/>
      <c r="W106" s="4"/>
      <c r="X106" s="4"/>
      <c r="Y106" s="4"/>
    </row>
    <row r="107" spans="1:25" ht="33.75" customHeight="1">
      <c r="A107" s="15">
        <v>106</v>
      </c>
      <c r="B107" s="2" t="s">
        <v>4004</v>
      </c>
      <c r="C107" s="420">
        <v>41705</v>
      </c>
      <c r="D107" s="113" t="s">
        <v>4005</v>
      </c>
      <c r="E107" s="15" t="s">
        <v>4006</v>
      </c>
      <c r="F107" s="4"/>
      <c r="G107" s="4"/>
      <c r="H107" s="4"/>
      <c r="I107" s="4"/>
      <c r="J107" s="4"/>
      <c r="K107" s="4"/>
      <c r="L107" s="4"/>
      <c r="M107" s="4"/>
      <c r="N107" s="4"/>
      <c r="O107" s="4"/>
      <c r="P107" s="4"/>
      <c r="Q107" s="4"/>
      <c r="R107" s="4"/>
      <c r="S107" s="4"/>
      <c r="T107" s="4"/>
      <c r="U107" s="4"/>
      <c r="V107" s="4"/>
      <c r="W107" s="4"/>
      <c r="X107" s="4"/>
      <c r="Y107" s="4"/>
    </row>
    <row r="108" spans="1:25" ht="33.75" customHeight="1">
      <c r="A108" s="15">
        <v>107</v>
      </c>
      <c r="B108" s="2" t="s">
        <v>4007</v>
      </c>
      <c r="C108" s="420">
        <v>41928</v>
      </c>
      <c r="D108" s="113" t="s">
        <v>4008</v>
      </c>
      <c r="E108" s="15" t="s">
        <v>4009</v>
      </c>
      <c r="F108" s="4"/>
      <c r="G108" s="4"/>
      <c r="H108" s="4"/>
      <c r="I108" s="4"/>
      <c r="J108" s="4"/>
      <c r="K108" s="4"/>
      <c r="L108" s="4"/>
      <c r="M108" s="4"/>
      <c r="N108" s="4"/>
      <c r="O108" s="4"/>
      <c r="P108" s="4"/>
      <c r="Q108" s="4"/>
      <c r="R108" s="4"/>
      <c r="S108" s="4"/>
      <c r="T108" s="4"/>
      <c r="U108" s="4"/>
      <c r="V108" s="4"/>
      <c r="W108" s="4"/>
      <c r="X108" s="4"/>
      <c r="Y108" s="4"/>
    </row>
    <row r="109" spans="1:25" ht="33.75" customHeight="1">
      <c r="A109" s="15">
        <v>108</v>
      </c>
      <c r="B109" s="2" t="s">
        <v>4010</v>
      </c>
      <c r="C109" s="420">
        <v>41934</v>
      </c>
      <c r="D109" s="113" t="s">
        <v>4011</v>
      </c>
      <c r="E109" s="113" t="s">
        <v>4012</v>
      </c>
      <c r="F109" s="4"/>
      <c r="G109" s="4"/>
      <c r="H109" s="4"/>
      <c r="I109" s="4"/>
      <c r="J109" s="4"/>
      <c r="K109" s="4"/>
      <c r="L109" s="4"/>
      <c r="M109" s="4"/>
      <c r="N109" s="4"/>
      <c r="O109" s="4"/>
      <c r="P109" s="4"/>
      <c r="Q109" s="4"/>
      <c r="R109" s="4"/>
      <c r="S109" s="4"/>
      <c r="T109" s="4"/>
      <c r="U109" s="4"/>
      <c r="V109" s="4"/>
      <c r="W109" s="4"/>
      <c r="X109" s="4"/>
      <c r="Y109" s="4"/>
    </row>
    <row r="110" spans="1:25" ht="33.75" customHeight="1">
      <c r="A110" s="113">
        <v>109</v>
      </c>
      <c r="B110" s="2" t="s">
        <v>4013</v>
      </c>
      <c r="C110" s="348">
        <v>41936</v>
      </c>
      <c r="D110" s="113" t="s">
        <v>4014</v>
      </c>
      <c r="E110" s="113" t="s">
        <v>4015</v>
      </c>
      <c r="F110" s="4"/>
      <c r="G110" s="4"/>
      <c r="H110" s="4"/>
      <c r="I110" s="4"/>
      <c r="J110" s="4"/>
      <c r="K110" s="4"/>
      <c r="L110" s="4"/>
      <c r="M110" s="4"/>
      <c r="N110" s="4"/>
      <c r="O110" s="4"/>
      <c r="P110" s="4"/>
      <c r="Q110" s="4"/>
      <c r="R110" s="4"/>
      <c r="S110" s="4"/>
      <c r="T110" s="4"/>
      <c r="U110" s="4"/>
      <c r="V110" s="4"/>
      <c r="W110" s="4"/>
      <c r="X110" s="4"/>
      <c r="Y110" s="4"/>
    </row>
    <row r="111" spans="1:25" ht="33.75" customHeight="1">
      <c r="A111" s="113">
        <v>110</v>
      </c>
      <c r="B111" s="2" t="s">
        <v>4016</v>
      </c>
      <c r="C111" s="348">
        <v>41936</v>
      </c>
      <c r="D111" s="113" t="s">
        <v>4017</v>
      </c>
      <c r="E111" s="113" t="s">
        <v>4018</v>
      </c>
      <c r="F111" s="4"/>
      <c r="G111" s="4"/>
      <c r="H111" s="4"/>
      <c r="I111" s="4"/>
      <c r="J111" s="4"/>
      <c r="K111" s="4"/>
      <c r="L111" s="4"/>
      <c r="M111" s="4"/>
      <c r="N111" s="4"/>
      <c r="O111" s="4"/>
      <c r="P111" s="4"/>
      <c r="Q111" s="4"/>
      <c r="R111" s="4"/>
      <c r="S111" s="4"/>
      <c r="T111" s="4"/>
      <c r="U111" s="4"/>
      <c r="V111" s="4"/>
      <c r="W111" s="4"/>
      <c r="X111" s="4"/>
      <c r="Y111" s="4"/>
    </row>
    <row r="112" spans="1:25" ht="33.75" customHeight="1">
      <c r="A112" s="15">
        <v>111</v>
      </c>
      <c r="B112" s="2" t="s">
        <v>4019</v>
      </c>
      <c r="C112" s="420">
        <v>42038</v>
      </c>
      <c r="D112" s="113" t="s">
        <v>4909</v>
      </c>
      <c r="E112" s="113" t="s">
        <v>4020</v>
      </c>
      <c r="F112" s="4"/>
      <c r="G112" s="4"/>
      <c r="H112" s="4"/>
      <c r="I112" s="4"/>
      <c r="J112" s="4"/>
      <c r="K112" s="4"/>
      <c r="L112" s="4"/>
      <c r="M112" s="4"/>
      <c r="N112" s="4"/>
      <c r="O112" s="4"/>
      <c r="P112" s="4"/>
      <c r="Q112" s="4"/>
      <c r="R112" s="4"/>
      <c r="S112" s="4"/>
      <c r="T112" s="4"/>
      <c r="U112" s="4"/>
      <c r="V112" s="4"/>
      <c r="W112" s="4"/>
      <c r="X112" s="4"/>
      <c r="Y112" s="4"/>
    </row>
    <row r="113" spans="1:25" ht="33.75" customHeight="1">
      <c r="A113" s="15">
        <v>112</v>
      </c>
      <c r="B113" s="2" t="s">
        <v>4021</v>
      </c>
      <c r="C113" s="420">
        <v>42045</v>
      </c>
      <c r="D113" s="113" t="s">
        <v>4022</v>
      </c>
      <c r="E113" s="113" t="s">
        <v>4023</v>
      </c>
      <c r="F113" s="4"/>
      <c r="G113" s="4"/>
      <c r="H113" s="4"/>
      <c r="I113" s="4"/>
      <c r="J113" s="4"/>
      <c r="K113" s="4"/>
      <c r="L113" s="4"/>
      <c r="M113" s="4"/>
      <c r="N113" s="4"/>
      <c r="O113" s="4"/>
      <c r="P113" s="4"/>
      <c r="Q113" s="4"/>
      <c r="R113" s="4"/>
      <c r="S113" s="4"/>
      <c r="T113" s="4"/>
      <c r="U113" s="4"/>
      <c r="V113" s="4"/>
      <c r="W113" s="4"/>
      <c r="X113" s="4"/>
      <c r="Y113" s="4"/>
    </row>
    <row r="114" spans="1:25" ht="33.75" customHeight="1">
      <c r="A114" s="15">
        <v>113</v>
      </c>
      <c r="B114" s="2" t="s">
        <v>4024</v>
      </c>
      <c r="C114" s="420">
        <v>42045</v>
      </c>
      <c r="D114" s="113" t="s">
        <v>4025</v>
      </c>
      <c r="E114" s="113" t="s">
        <v>4023</v>
      </c>
      <c r="F114" s="4"/>
      <c r="G114" s="4"/>
      <c r="H114" s="4"/>
      <c r="I114" s="4"/>
      <c r="J114" s="4"/>
      <c r="K114" s="4"/>
      <c r="L114" s="4"/>
      <c r="M114" s="4"/>
      <c r="N114" s="4"/>
      <c r="O114" s="4"/>
      <c r="P114" s="4"/>
      <c r="Q114" s="4"/>
      <c r="R114" s="4"/>
      <c r="S114" s="4"/>
      <c r="T114" s="4"/>
      <c r="U114" s="4"/>
      <c r="V114" s="4"/>
      <c r="W114" s="4"/>
      <c r="X114" s="4"/>
      <c r="Y114" s="4"/>
    </row>
    <row r="115" spans="1:25" ht="33.75" customHeight="1">
      <c r="A115" s="15">
        <v>114</v>
      </c>
      <c r="B115" s="2" t="s">
        <v>4026</v>
      </c>
      <c r="C115" s="420">
        <v>42054</v>
      </c>
      <c r="D115" s="113" t="s">
        <v>4027</v>
      </c>
      <c r="E115" s="113" t="s">
        <v>4028</v>
      </c>
      <c r="F115" s="4"/>
      <c r="G115" s="4"/>
      <c r="H115" s="4"/>
      <c r="I115" s="4"/>
      <c r="J115" s="4"/>
      <c r="K115" s="4"/>
      <c r="L115" s="4"/>
      <c r="M115" s="4"/>
      <c r="N115" s="4"/>
      <c r="O115" s="4"/>
      <c r="P115" s="4"/>
      <c r="Q115" s="4"/>
      <c r="R115" s="4"/>
      <c r="S115" s="4"/>
      <c r="T115" s="4"/>
      <c r="U115" s="4"/>
      <c r="V115" s="4"/>
      <c r="W115" s="4"/>
      <c r="X115" s="4"/>
      <c r="Y115" s="4"/>
    </row>
    <row r="116" spans="1:25" ht="33.75" customHeight="1">
      <c r="A116" s="15">
        <v>115</v>
      </c>
      <c r="B116" s="2" t="s">
        <v>4029</v>
      </c>
      <c r="C116" s="420">
        <v>42142</v>
      </c>
      <c r="D116" s="113" t="s">
        <v>4030</v>
      </c>
      <c r="E116" s="113" t="s">
        <v>4031</v>
      </c>
      <c r="F116" s="4"/>
      <c r="G116" s="4"/>
      <c r="H116" s="4"/>
      <c r="I116" s="4"/>
      <c r="J116" s="4"/>
      <c r="K116" s="4"/>
      <c r="L116" s="4"/>
      <c r="M116" s="4"/>
      <c r="N116" s="4"/>
      <c r="O116" s="4"/>
      <c r="P116" s="4"/>
      <c r="Q116" s="4"/>
      <c r="R116" s="4"/>
      <c r="S116" s="4"/>
      <c r="T116" s="4"/>
      <c r="U116" s="4"/>
      <c r="V116" s="4"/>
      <c r="W116" s="4"/>
      <c r="X116" s="4"/>
      <c r="Y116" s="4"/>
    </row>
    <row r="117" spans="1:25" ht="33.75" customHeight="1">
      <c r="A117" s="15">
        <v>116</v>
      </c>
      <c r="B117" s="2" t="s">
        <v>4032</v>
      </c>
      <c r="C117" s="420">
        <v>42174</v>
      </c>
      <c r="D117" s="113" t="s">
        <v>4033</v>
      </c>
      <c r="E117" s="113" t="s">
        <v>4034</v>
      </c>
      <c r="F117" s="4"/>
      <c r="G117" s="4"/>
      <c r="H117" s="4"/>
      <c r="I117" s="4"/>
      <c r="J117" s="4"/>
      <c r="K117" s="4"/>
      <c r="L117" s="4"/>
      <c r="M117" s="4"/>
      <c r="N117" s="4"/>
      <c r="O117" s="4"/>
      <c r="P117" s="4"/>
      <c r="Q117" s="4"/>
      <c r="R117" s="4"/>
      <c r="S117" s="4"/>
      <c r="T117" s="4"/>
      <c r="U117" s="4"/>
      <c r="V117" s="4"/>
      <c r="W117" s="4"/>
      <c r="X117" s="4"/>
      <c r="Y117" s="4"/>
    </row>
    <row r="118" spans="1:25" ht="33.75" customHeight="1">
      <c r="A118" s="15">
        <v>117</v>
      </c>
      <c r="B118" s="2" t="s">
        <v>4035</v>
      </c>
      <c r="C118" s="420">
        <v>42184</v>
      </c>
      <c r="D118" s="113" t="s">
        <v>4036</v>
      </c>
      <c r="E118" s="113" t="s">
        <v>4037</v>
      </c>
      <c r="F118" s="4"/>
      <c r="G118" s="4"/>
      <c r="H118" s="4"/>
      <c r="I118" s="4"/>
      <c r="J118" s="4"/>
      <c r="K118" s="4"/>
      <c r="L118" s="4"/>
      <c r="M118" s="4"/>
      <c r="N118" s="4"/>
      <c r="O118" s="4"/>
      <c r="P118" s="4"/>
      <c r="Q118" s="4"/>
      <c r="R118" s="4"/>
      <c r="S118" s="4"/>
      <c r="T118" s="4"/>
      <c r="U118" s="4"/>
      <c r="V118" s="4"/>
      <c r="W118" s="4"/>
      <c r="X118" s="4"/>
      <c r="Y118" s="4"/>
    </row>
    <row r="119" spans="1:25" ht="33.75" customHeight="1">
      <c r="A119" s="15">
        <v>118</v>
      </c>
      <c r="B119" s="2" t="s">
        <v>4038</v>
      </c>
      <c r="C119" s="420">
        <v>42186</v>
      </c>
      <c r="D119" s="113" t="s">
        <v>4039</v>
      </c>
      <c r="E119" s="15" t="s">
        <v>1547</v>
      </c>
      <c r="F119" s="4"/>
      <c r="G119" s="4"/>
      <c r="H119" s="4"/>
      <c r="I119" s="4"/>
      <c r="J119" s="4"/>
      <c r="K119" s="4"/>
      <c r="L119" s="4"/>
      <c r="M119" s="4"/>
      <c r="N119" s="4"/>
      <c r="O119" s="4"/>
      <c r="P119" s="4"/>
      <c r="Q119" s="4"/>
      <c r="R119" s="4"/>
      <c r="S119" s="4"/>
      <c r="T119" s="4"/>
      <c r="U119" s="4"/>
      <c r="V119" s="4"/>
      <c r="W119" s="4"/>
      <c r="X119" s="4"/>
      <c r="Y119" s="4"/>
    </row>
    <row r="120" spans="1:25" ht="33.75" customHeight="1">
      <c r="A120" s="15">
        <v>119</v>
      </c>
      <c r="B120" s="2" t="s">
        <v>4040</v>
      </c>
      <c r="C120" s="420">
        <v>42212</v>
      </c>
      <c r="D120" s="113" t="s">
        <v>4041</v>
      </c>
      <c r="E120" s="113" t="s">
        <v>4042</v>
      </c>
      <c r="F120" s="4"/>
      <c r="G120" s="4"/>
      <c r="H120" s="4"/>
      <c r="I120" s="4"/>
      <c r="J120" s="4"/>
      <c r="K120" s="4"/>
      <c r="L120" s="4"/>
      <c r="M120" s="4"/>
      <c r="N120" s="4"/>
      <c r="O120" s="4"/>
      <c r="P120" s="4"/>
      <c r="Q120" s="4"/>
      <c r="R120" s="4"/>
      <c r="S120" s="4"/>
      <c r="T120" s="4"/>
      <c r="U120" s="4"/>
      <c r="V120" s="4"/>
      <c r="W120" s="4"/>
      <c r="X120" s="4"/>
      <c r="Y120" s="4"/>
    </row>
    <row r="121" spans="1:25" ht="33.75" customHeight="1">
      <c r="A121" s="15">
        <v>120</v>
      </c>
      <c r="B121" s="2" t="s">
        <v>4043</v>
      </c>
      <c r="C121" s="420">
        <v>42244</v>
      </c>
      <c r="D121" s="113" t="s">
        <v>4044</v>
      </c>
      <c r="E121" s="113" t="s">
        <v>4045</v>
      </c>
      <c r="F121" s="26"/>
      <c r="G121" s="1"/>
      <c r="H121" s="1"/>
      <c r="I121" s="1"/>
      <c r="J121" s="1"/>
      <c r="K121" s="1"/>
      <c r="L121" s="1"/>
      <c r="M121" s="1"/>
      <c r="N121" s="1"/>
      <c r="O121" s="1"/>
      <c r="P121" s="1"/>
      <c r="Q121" s="1"/>
      <c r="R121" s="1"/>
      <c r="S121" s="1"/>
      <c r="T121" s="1"/>
      <c r="U121" s="1"/>
      <c r="V121" s="1"/>
      <c r="W121" s="1"/>
      <c r="X121" s="1"/>
      <c r="Y121" s="1"/>
    </row>
    <row r="122" spans="1:25" ht="33.75" customHeight="1">
      <c r="A122" s="15">
        <v>121</v>
      </c>
      <c r="B122" s="2" t="s">
        <v>4046</v>
      </c>
      <c r="C122" s="420">
        <v>42262</v>
      </c>
      <c r="D122" s="113" t="s">
        <v>4047</v>
      </c>
      <c r="E122" s="113" t="s">
        <v>4020</v>
      </c>
      <c r="F122" s="26"/>
      <c r="G122" s="1"/>
      <c r="H122" s="1"/>
      <c r="I122" s="1"/>
      <c r="J122" s="1"/>
      <c r="K122" s="1"/>
      <c r="L122" s="1"/>
      <c r="M122" s="1"/>
      <c r="N122" s="1"/>
      <c r="O122" s="1"/>
      <c r="P122" s="1"/>
      <c r="Q122" s="1"/>
      <c r="R122" s="1"/>
      <c r="S122" s="1"/>
      <c r="T122" s="1"/>
      <c r="U122" s="1"/>
      <c r="V122" s="1"/>
      <c r="W122" s="1"/>
      <c r="X122" s="1"/>
      <c r="Y122" s="1"/>
    </row>
    <row r="123" spans="1:25" ht="33.75" customHeight="1">
      <c r="A123" s="15">
        <v>122</v>
      </c>
      <c r="B123" s="2" t="s">
        <v>4048</v>
      </c>
      <c r="C123" s="420">
        <v>42264</v>
      </c>
      <c r="D123" s="113" t="s">
        <v>4049</v>
      </c>
      <c r="E123" s="113" t="s">
        <v>4050</v>
      </c>
      <c r="F123" s="26"/>
      <c r="G123" s="1"/>
      <c r="H123" s="1"/>
      <c r="I123" s="1"/>
      <c r="J123" s="1"/>
      <c r="K123" s="1"/>
      <c r="L123" s="1"/>
      <c r="M123" s="1"/>
      <c r="N123" s="1"/>
      <c r="O123" s="1"/>
      <c r="P123" s="1"/>
      <c r="Q123" s="1"/>
      <c r="R123" s="1"/>
      <c r="S123" s="1"/>
      <c r="T123" s="1"/>
      <c r="U123" s="1"/>
      <c r="V123" s="1"/>
      <c r="W123" s="1"/>
      <c r="X123" s="1"/>
      <c r="Y123" s="1"/>
    </row>
    <row r="124" spans="1:25" ht="33.75" customHeight="1">
      <c r="A124" s="15">
        <v>123</v>
      </c>
      <c r="B124" s="2" t="s">
        <v>4051</v>
      </c>
      <c r="C124" s="420">
        <v>42335</v>
      </c>
      <c r="D124" s="113" t="s">
        <v>4052</v>
      </c>
      <c r="E124" s="113" t="s">
        <v>4053</v>
      </c>
      <c r="F124" s="26"/>
      <c r="G124" s="1"/>
      <c r="H124" s="1"/>
      <c r="I124" s="1"/>
      <c r="J124" s="1"/>
      <c r="K124" s="1"/>
      <c r="L124" s="1"/>
      <c r="M124" s="1"/>
      <c r="N124" s="1"/>
      <c r="O124" s="1"/>
      <c r="P124" s="1"/>
      <c r="Q124" s="1"/>
      <c r="R124" s="1"/>
      <c r="S124" s="1"/>
      <c r="T124" s="1"/>
      <c r="U124" s="1"/>
      <c r="V124" s="1"/>
      <c r="W124" s="1"/>
      <c r="X124" s="1"/>
      <c r="Y124" s="1"/>
    </row>
    <row r="125" spans="1:25" ht="33.75" customHeight="1">
      <c r="A125" s="15">
        <v>124</v>
      </c>
      <c r="B125" s="2" t="s">
        <v>4054</v>
      </c>
      <c r="C125" s="420">
        <v>42335</v>
      </c>
      <c r="D125" s="113" t="s">
        <v>4055</v>
      </c>
      <c r="E125" s="15" t="s">
        <v>4056</v>
      </c>
      <c r="F125" s="4"/>
      <c r="G125" s="4"/>
      <c r="H125" s="4"/>
      <c r="I125" s="4"/>
      <c r="J125" s="4"/>
      <c r="K125" s="4"/>
      <c r="L125" s="4"/>
      <c r="M125" s="4"/>
      <c r="N125" s="4"/>
      <c r="O125" s="4"/>
      <c r="P125" s="4"/>
      <c r="Q125" s="4"/>
      <c r="R125" s="4"/>
      <c r="S125" s="4"/>
      <c r="T125" s="4"/>
      <c r="U125" s="4"/>
      <c r="V125" s="4"/>
      <c r="W125" s="4"/>
      <c r="X125" s="4"/>
      <c r="Y125" s="4"/>
    </row>
    <row r="126" spans="1:25" ht="33.75" customHeight="1">
      <c r="A126" s="15">
        <v>125</v>
      </c>
      <c r="B126" s="2" t="s">
        <v>4057</v>
      </c>
      <c r="C126" s="413">
        <v>42347</v>
      </c>
      <c r="D126" s="113" t="s">
        <v>4058</v>
      </c>
      <c r="E126" s="113" t="s">
        <v>4059</v>
      </c>
      <c r="F126" s="4"/>
      <c r="G126" s="4"/>
      <c r="H126" s="4"/>
      <c r="I126" s="4"/>
      <c r="J126" s="4"/>
      <c r="K126" s="4"/>
      <c r="L126" s="4"/>
      <c r="M126" s="4"/>
      <c r="N126" s="4"/>
      <c r="O126" s="4"/>
      <c r="P126" s="4"/>
      <c r="Q126" s="4"/>
      <c r="R126" s="4"/>
      <c r="S126" s="4"/>
      <c r="T126" s="4"/>
      <c r="U126" s="4"/>
      <c r="V126" s="4"/>
      <c r="W126" s="4"/>
      <c r="X126" s="4"/>
      <c r="Y126" s="4"/>
    </row>
    <row r="127" spans="1:25" ht="33.75" customHeight="1">
      <c r="A127" s="15">
        <v>126</v>
      </c>
      <c r="B127" s="2" t="s">
        <v>4060</v>
      </c>
      <c r="C127" s="413">
        <v>42388</v>
      </c>
      <c r="D127" s="113" t="s">
        <v>4061</v>
      </c>
      <c r="E127" s="113" t="s">
        <v>4062</v>
      </c>
      <c r="F127" s="4"/>
      <c r="G127" s="4"/>
      <c r="H127" s="4"/>
      <c r="I127" s="4"/>
      <c r="J127" s="4"/>
      <c r="K127" s="4"/>
      <c r="L127" s="4"/>
      <c r="M127" s="4"/>
      <c r="N127" s="4"/>
      <c r="O127" s="4"/>
      <c r="P127" s="4"/>
      <c r="Q127" s="4"/>
      <c r="R127" s="4"/>
      <c r="S127" s="4"/>
      <c r="T127" s="4"/>
      <c r="U127" s="4"/>
      <c r="V127" s="4"/>
      <c r="W127" s="4"/>
      <c r="X127" s="4"/>
      <c r="Y127" s="4"/>
    </row>
    <row r="128" spans="1:25" ht="33.75" customHeight="1">
      <c r="A128" s="15">
        <v>127</v>
      </c>
      <c r="B128" s="2" t="s">
        <v>4063</v>
      </c>
      <c r="C128" s="430">
        <v>42410</v>
      </c>
      <c r="D128" s="113" t="s">
        <v>4064</v>
      </c>
      <c r="E128" s="113" t="s">
        <v>4065</v>
      </c>
      <c r="F128" s="4"/>
      <c r="G128" s="4"/>
      <c r="H128" s="4"/>
      <c r="I128" s="4"/>
      <c r="J128" s="4"/>
      <c r="K128" s="4"/>
      <c r="L128" s="4"/>
      <c r="M128" s="4"/>
      <c r="N128" s="4"/>
      <c r="O128" s="4"/>
      <c r="P128" s="4"/>
      <c r="Q128" s="4"/>
      <c r="R128" s="4"/>
      <c r="S128" s="4"/>
      <c r="T128" s="4"/>
      <c r="U128" s="4"/>
      <c r="V128" s="4"/>
      <c r="W128" s="4"/>
      <c r="X128" s="4"/>
      <c r="Y128" s="4"/>
    </row>
    <row r="129" spans="1:25" ht="33.75" customHeight="1">
      <c r="A129" s="15">
        <v>128</v>
      </c>
      <c r="B129" s="2" t="s">
        <v>4066</v>
      </c>
      <c r="C129" s="413">
        <v>42431</v>
      </c>
      <c r="D129" s="113" t="s">
        <v>4067</v>
      </c>
      <c r="E129" s="353" t="s">
        <v>4068</v>
      </c>
      <c r="F129" s="4"/>
      <c r="G129" s="4"/>
      <c r="H129" s="4"/>
      <c r="I129" s="4"/>
      <c r="J129" s="4"/>
      <c r="K129" s="4"/>
      <c r="L129" s="4"/>
      <c r="M129" s="4"/>
      <c r="N129" s="4"/>
      <c r="O129" s="4"/>
      <c r="P129" s="4"/>
      <c r="Q129" s="4"/>
      <c r="R129" s="4"/>
      <c r="S129" s="4"/>
      <c r="T129" s="4"/>
      <c r="U129" s="4"/>
      <c r="V129" s="4"/>
      <c r="W129" s="4"/>
      <c r="X129" s="4"/>
      <c r="Y129" s="4"/>
    </row>
    <row r="130" spans="1:25" ht="33.75" customHeight="1">
      <c r="A130" s="15">
        <v>129</v>
      </c>
      <c r="B130" s="2" t="s">
        <v>4069</v>
      </c>
      <c r="C130" s="413">
        <v>42432</v>
      </c>
      <c r="D130" s="429" t="s">
        <v>4070</v>
      </c>
      <c r="E130" s="90" t="s">
        <v>4071</v>
      </c>
      <c r="F130" s="4"/>
      <c r="G130" s="4"/>
      <c r="H130" s="4"/>
      <c r="I130" s="4"/>
      <c r="J130" s="4"/>
      <c r="K130" s="4"/>
      <c r="L130" s="4"/>
      <c r="M130" s="4"/>
      <c r="N130" s="4"/>
      <c r="O130" s="4"/>
      <c r="P130" s="4"/>
      <c r="Q130" s="4"/>
      <c r="R130" s="4"/>
      <c r="S130" s="4"/>
      <c r="T130" s="4"/>
      <c r="U130" s="4"/>
      <c r="V130" s="4"/>
      <c r="W130" s="4"/>
      <c r="X130" s="4"/>
      <c r="Y130" s="4"/>
    </row>
    <row r="131" spans="1:25" ht="33.75" customHeight="1">
      <c r="A131" s="15">
        <v>130</v>
      </c>
      <c r="B131" s="2" t="s">
        <v>4072</v>
      </c>
      <c r="C131" s="413">
        <v>42432</v>
      </c>
      <c r="D131" s="113" t="s">
        <v>4073</v>
      </c>
      <c r="E131" s="431" t="s">
        <v>4009</v>
      </c>
      <c r="F131" s="4"/>
      <c r="G131" s="4"/>
      <c r="H131" s="4"/>
      <c r="I131" s="4"/>
      <c r="J131" s="4"/>
      <c r="K131" s="4"/>
      <c r="L131" s="4"/>
      <c r="M131" s="4"/>
      <c r="N131" s="4"/>
      <c r="O131" s="4"/>
      <c r="P131" s="4"/>
      <c r="Q131" s="4"/>
      <c r="R131" s="4"/>
      <c r="S131" s="4"/>
      <c r="T131" s="4"/>
      <c r="U131" s="4"/>
      <c r="V131" s="4"/>
      <c r="W131" s="4"/>
      <c r="X131" s="4"/>
      <c r="Y131" s="4"/>
    </row>
    <row r="132" spans="1:25" ht="33.75" customHeight="1">
      <c r="A132" s="15">
        <v>131</v>
      </c>
      <c r="B132" s="2" t="s">
        <v>4074</v>
      </c>
      <c r="C132" s="413">
        <v>42444</v>
      </c>
      <c r="D132" s="113" t="s">
        <v>4075</v>
      </c>
      <c r="E132" s="15" t="s">
        <v>4076</v>
      </c>
      <c r="F132" s="4"/>
      <c r="G132" s="4"/>
      <c r="H132" s="4"/>
      <c r="I132" s="4"/>
      <c r="J132" s="4"/>
      <c r="K132" s="4"/>
      <c r="L132" s="4"/>
      <c r="M132" s="4"/>
      <c r="N132" s="4"/>
      <c r="O132" s="4"/>
      <c r="P132" s="4"/>
      <c r="Q132" s="4"/>
      <c r="R132" s="4"/>
      <c r="S132" s="4"/>
      <c r="T132" s="4"/>
      <c r="U132" s="4"/>
      <c r="V132" s="4"/>
      <c r="W132" s="4"/>
      <c r="X132" s="4"/>
      <c r="Y132" s="4"/>
    </row>
    <row r="133" spans="1:25" ht="33.75" customHeight="1">
      <c r="A133" s="15">
        <v>132</v>
      </c>
      <c r="B133" s="2" t="s">
        <v>4077</v>
      </c>
      <c r="C133" s="413">
        <v>42467</v>
      </c>
      <c r="D133" s="113" t="s">
        <v>4078</v>
      </c>
      <c r="E133" s="15" t="s">
        <v>4079</v>
      </c>
      <c r="F133" s="4"/>
      <c r="G133" s="4"/>
      <c r="H133" s="4"/>
      <c r="I133" s="4"/>
      <c r="J133" s="4"/>
      <c r="K133" s="4"/>
      <c r="L133" s="4"/>
      <c r="M133" s="4"/>
      <c r="N133" s="4"/>
      <c r="O133" s="4"/>
      <c r="P133" s="4"/>
      <c r="Q133" s="4"/>
      <c r="R133" s="4"/>
      <c r="S133" s="4"/>
      <c r="T133" s="4"/>
      <c r="U133" s="4"/>
      <c r="V133" s="4"/>
      <c r="W133" s="4"/>
      <c r="X133" s="4"/>
      <c r="Y133" s="4"/>
    </row>
    <row r="134" spans="1:25" ht="33.75" customHeight="1">
      <c r="A134" s="15">
        <v>133</v>
      </c>
      <c r="B134" s="2" t="s">
        <v>4080</v>
      </c>
      <c r="C134" s="413">
        <v>42465</v>
      </c>
      <c r="D134" s="113" t="s">
        <v>4081</v>
      </c>
      <c r="E134" s="113" t="s">
        <v>4082</v>
      </c>
      <c r="F134" s="4"/>
      <c r="G134" s="4"/>
      <c r="H134" s="4"/>
      <c r="I134" s="4"/>
      <c r="J134" s="4"/>
      <c r="K134" s="4"/>
      <c r="L134" s="4"/>
      <c r="M134" s="4"/>
      <c r="N134" s="4"/>
      <c r="O134" s="4"/>
      <c r="P134" s="4"/>
      <c r="Q134" s="4"/>
      <c r="R134" s="4"/>
      <c r="S134" s="4"/>
      <c r="T134" s="4"/>
      <c r="U134" s="4"/>
      <c r="V134" s="4"/>
      <c r="W134" s="4"/>
      <c r="X134" s="4"/>
      <c r="Y134" s="4"/>
    </row>
    <row r="135" spans="1:25" ht="33.75" customHeight="1">
      <c r="A135" s="15">
        <v>134</v>
      </c>
      <c r="B135" s="2" t="s">
        <v>4083</v>
      </c>
      <c r="C135" s="430">
        <v>42473</v>
      </c>
      <c r="D135" s="113" t="s">
        <v>4084</v>
      </c>
      <c r="E135" s="15" t="s">
        <v>4085</v>
      </c>
      <c r="F135" s="4"/>
      <c r="G135" s="4"/>
      <c r="H135" s="4"/>
      <c r="I135" s="4"/>
      <c r="J135" s="4"/>
      <c r="K135" s="4"/>
      <c r="L135" s="4"/>
      <c r="M135" s="4"/>
      <c r="N135" s="4"/>
      <c r="O135" s="4"/>
      <c r="P135" s="4"/>
      <c r="Q135" s="4"/>
      <c r="R135" s="4"/>
      <c r="S135" s="4"/>
      <c r="T135" s="4"/>
      <c r="U135" s="4"/>
      <c r="V135" s="4"/>
      <c r="W135" s="4"/>
      <c r="X135" s="4"/>
      <c r="Y135" s="4"/>
    </row>
    <row r="136" spans="1:25" ht="33.75" customHeight="1">
      <c r="A136" s="15">
        <v>135</v>
      </c>
      <c r="B136" s="2" t="s">
        <v>4086</v>
      </c>
      <c r="C136" s="413">
        <v>42486</v>
      </c>
      <c r="D136" s="113" t="s">
        <v>4087</v>
      </c>
      <c r="E136" s="113" t="s">
        <v>4088</v>
      </c>
      <c r="F136" s="4"/>
      <c r="G136" s="4"/>
      <c r="H136" s="4"/>
      <c r="I136" s="4"/>
      <c r="J136" s="4"/>
      <c r="K136" s="4"/>
      <c r="L136" s="4"/>
      <c r="M136" s="4"/>
      <c r="N136" s="4"/>
      <c r="O136" s="4"/>
      <c r="P136" s="4"/>
      <c r="Q136" s="4"/>
      <c r="R136" s="4"/>
      <c r="S136" s="4"/>
      <c r="T136" s="4"/>
      <c r="U136" s="4"/>
      <c r="V136" s="4"/>
      <c r="W136" s="4"/>
      <c r="X136" s="4"/>
      <c r="Y136" s="4"/>
    </row>
    <row r="137" spans="1:25" ht="33.75" customHeight="1">
      <c r="A137" s="15">
        <v>136</v>
      </c>
      <c r="B137" s="2" t="s">
        <v>4089</v>
      </c>
      <c r="C137" s="413">
        <v>42496</v>
      </c>
      <c r="D137" s="113" t="s">
        <v>4090</v>
      </c>
      <c r="E137" s="113" t="s">
        <v>4088</v>
      </c>
      <c r="F137" s="4"/>
      <c r="G137" s="4"/>
      <c r="H137" s="4"/>
      <c r="I137" s="4"/>
      <c r="J137" s="4"/>
      <c r="K137" s="4"/>
      <c r="L137" s="4"/>
      <c r="M137" s="4"/>
      <c r="N137" s="4"/>
      <c r="O137" s="4"/>
      <c r="P137" s="4"/>
      <c r="Q137" s="4"/>
      <c r="R137" s="4"/>
      <c r="S137" s="4"/>
      <c r="T137" s="4"/>
      <c r="U137" s="4"/>
      <c r="V137" s="4"/>
      <c r="W137" s="4"/>
      <c r="X137" s="4"/>
      <c r="Y137" s="4"/>
    </row>
    <row r="138" spans="1:25" ht="33.75" customHeight="1">
      <c r="A138" s="15">
        <v>137</v>
      </c>
      <c r="B138" s="2" t="s">
        <v>4091</v>
      </c>
      <c r="C138" s="413">
        <v>42522</v>
      </c>
      <c r="D138" s="113" t="s">
        <v>4092</v>
      </c>
      <c r="E138" s="15" t="s">
        <v>4093</v>
      </c>
      <c r="F138" s="4"/>
      <c r="G138" s="4"/>
      <c r="H138" s="4"/>
      <c r="I138" s="4"/>
      <c r="J138" s="4"/>
      <c r="K138" s="4"/>
      <c r="L138" s="4"/>
      <c r="M138" s="4"/>
      <c r="N138" s="4"/>
      <c r="O138" s="4"/>
      <c r="P138" s="4"/>
      <c r="Q138" s="4"/>
      <c r="R138" s="4"/>
      <c r="S138" s="4"/>
      <c r="T138" s="4"/>
      <c r="U138" s="4"/>
      <c r="V138" s="4"/>
      <c r="W138" s="4"/>
      <c r="X138" s="4"/>
      <c r="Y138" s="4"/>
    </row>
    <row r="139" spans="1:25" ht="33.75" customHeight="1">
      <c r="A139" s="15">
        <v>138</v>
      </c>
      <c r="B139" s="2" t="s">
        <v>4094</v>
      </c>
      <c r="C139" s="413">
        <v>42570</v>
      </c>
      <c r="D139" s="113" t="s">
        <v>4095</v>
      </c>
      <c r="E139" s="15" t="s">
        <v>4096</v>
      </c>
      <c r="F139" s="4"/>
      <c r="G139" s="4"/>
      <c r="H139" s="4"/>
      <c r="I139" s="4"/>
      <c r="J139" s="4"/>
      <c r="K139" s="4"/>
      <c r="L139" s="4"/>
      <c r="M139" s="4"/>
      <c r="N139" s="4"/>
      <c r="O139" s="4"/>
      <c r="P139" s="4"/>
      <c r="Q139" s="4"/>
      <c r="R139" s="4"/>
      <c r="S139" s="4"/>
      <c r="T139" s="4"/>
      <c r="U139" s="4"/>
      <c r="V139" s="4"/>
      <c r="W139" s="4"/>
      <c r="X139" s="4"/>
      <c r="Y139" s="4"/>
    </row>
    <row r="140" spans="1:25" ht="33.75" customHeight="1">
      <c r="A140" s="113">
        <v>139</v>
      </c>
      <c r="B140" s="2" t="s">
        <v>4097</v>
      </c>
      <c r="C140" s="430">
        <v>42604</v>
      </c>
      <c r="D140" s="113" t="s">
        <v>4098</v>
      </c>
      <c r="E140" s="113" t="s">
        <v>4068</v>
      </c>
      <c r="F140" s="4"/>
      <c r="G140" s="4"/>
      <c r="H140" s="4"/>
      <c r="I140" s="4"/>
      <c r="J140" s="4"/>
      <c r="K140" s="4"/>
      <c r="L140" s="4"/>
      <c r="M140" s="4"/>
      <c r="N140" s="4"/>
      <c r="O140" s="4"/>
      <c r="P140" s="4"/>
      <c r="Q140" s="4"/>
      <c r="R140" s="4"/>
      <c r="S140" s="4"/>
      <c r="T140" s="4"/>
      <c r="U140" s="4"/>
      <c r="V140" s="4"/>
      <c r="W140" s="4"/>
      <c r="X140" s="4"/>
      <c r="Y140" s="4"/>
    </row>
    <row r="141" spans="1:25" ht="33.75" customHeight="1">
      <c r="A141" s="113">
        <v>140</v>
      </c>
      <c r="B141" s="2" t="s">
        <v>4099</v>
      </c>
      <c r="C141" s="430">
        <v>42843</v>
      </c>
      <c r="D141" s="113" t="s">
        <v>4100</v>
      </c>
      <c r="E141" s="113" t="s">
        <v>4101</v>
      </c>
      <c r="F141" s="4"/>
      <c r="G141" s="4"/>
      <c r="H141" s="4"/>
      <c r="I141" s="4"/>
      <c r="J141" s="4"/>
      <c r="K141" s="4"/>
      <c r="L141" s="4"/>
      <c r="M141" s="4"/>
      <c r="N141" s="4"/>
      <c r="O141" s="4"/>
      <c r="P141" s="4"/>
      <c r="Q141" s="4"/>
      <c r="R141" s="4"/>
      <c r="S141" s="4"/>
      <c r="T141" s="4"/>
      <c r="U141" s="4"/>
      <c r="V141" s="4"/>
      <c r="W141" s="4"/>
      <c r="X141" s="4"/>
      <c r="Y141" s="4"/>
    </row>
    <row r="142" spans="1:25" ht="33.75" customHeight="1">
      <c r="A142" s="15">
        <v>141</v>
      </c>
      <c r="B142" s="2" t="s">
        <v>4102</v>
      </c>
      <c r="C142" s="430">
        <v>42878</v>
      </c>
      <c r="D142" s="113" t="s">
        <v>4103</v>
      </c>
      <c r="E142" s="113" t="s">
        <v>4104</v>
      </c>
      <c r="F142" s="4"/>
      <c r="G142" s="4"/>
      <c r="H142" s="4"/>
      <c r="I142" s="4"/>
      <c r="J142" s="4"/>
      <c r="K142" s="4"/>
      <c r="L142" s="4"/>
      <c r="M142" s="4"/>
      <c r="N142" s="4"/>
      <c r="O142" s="4"/>
      <c r="P142" s="4"/>
      <c r="Q142" s="4"/>
      <c r="R142" s="4"/>
      <c r="S142" s="4"/>
      <c r="T142" s="4"/>
      <c r="U142" s="4"/>
      <c r="V142" s="4"/>
      <c r="W142" s="4"/>
      <c r="X142" s="4"/>
      <c r="Y142" s="4"/>
    </row>
    <row r="143" spans="1:25" ht="33.75" customHeight="1">
      <c r="A143" s="15">
        <v>142</v>
      </c>
      <c r="B143" s="2" t="s">
        <v>4105</v>
      </c>
      <c r="C143" s="413">
        <v>42879</v>
      </c>
      <c r="D143" s="113" t="s">
        <v>4106</v>
      </c>
      <c r="E143" s="113" t="s">
        <v>4107</v>
      </c>
      <c r="F143" s="4"/>
      <c r="G143" s="4"/>
      <c r="H143" s="4"/>
      <c r="I143" s="4"/>
      <c r="J143" s="4"/>
      <c r="K143" s="4"/>
      <c r="L143" s="4"/>
      <c r="M143" s="4"/>
      <c r="N143" s="4"/>
      <c r="O143" s="4"/>
      <c r="P143" s="4"/>
      <c r="Q143" s="4"/>
      <c r="R143" s="4"/>
      <c r="S143" s="4"/>
      <c r="T143" s="4"/>
      <c r="U143" s="4"/>
      <c r="V143" s="4"/>
      <c r="W143" s="4"/>
      <c r="X143" s="4"/>
      <c r="Y143" s="4"/>
    </row>
    <row r="144" spans="1:25" ht="33.75" customHeight="1">
      <c r="A144" s="15">
        <v>143</v>
      </c>
      <c r="B144" s="2" t="s">
        <v>4108</v>
      </c>
      <c r="C144" s="413">
        <v>42963</v>
      </c>
      <c r="D144" s="113" t="s">
        <v>4109</v>
      </c>
      <c r="E144" s="113" t="s">
        <v>538</v>
      </c>
      <c r="F144" s="4"/>
      <c r="G144" s="4"/>
      <c r="H144" s="4"/>
      <c r="I144" s="4"/>
      <c r="J144" s="4"/>
      <c r="K144" s="4"/>
      <c r="L144" s="4"/>
      <c r="M144" s="4"/>
      <c r="N144" s="4"/>
      <c r="O144" s="4"/>
      <c r="P144" s="4"/>
      <c r="Q144" s="4"/>
      <c r="R144" s="4"/>
      <c r="S144" s="4"/>
      <c r="T144" s="4"/>
      <c r="U144" s="4"/>
      <c r="V144" s="4"/>
      <c r="W144" s="4"/>
      <c r="X144" s="4"/>
      <c r="Y144" s="4"/>
    </row>
    <row r="145" spans="1:25" ht="33.75" customHeight="1">
      <c r="A145" s="15">
        <v>144</v>
      </c>
      <c r="B145" s="2" t="s">
        <v>4110</v>
      </c>
      <c r="C145" s="413">
        <v>42964</v>
      </c>
      <c r="D145" s="113" t="s">
        <v>4109</v>
      </c>
      <c r="E145" s="113" t="s">
        <v>538</v>
      </c>
      <c r="F145" s="4"/>
      <c r="G145" s="4"/>
      <c r="H145" s="4"/>
      <c r="I145" s="4"/>
      <c r="J145" s="4"/>
      <c r="K145" s="4"/>
      <c r="L145" s="4"/>
      <c r="M145" s="4"/>
      <c r="N145" s="4"/>
      <c r="O145" s="4"/>
      <c r="P145" s="4"/>
      <c r="Q145" s="4"/>
      <c r="R145" s="4"/>
      <c r="S145" s="4"/>
      <c r="T145" s="4"/>
      <c r="U145" s="4"/>
      <c r="V145" s="4"/>
      <c r="W145" s="4"/>
      <c r="X145" s="4"/>
      <c r="Y145" s="4"/>
    </row>
    <row r="146" spans="1:25" ht="33.75" customHeight="1">
      <c r="A146" s="15">
        <v>145</v>
      </c>
      <c r="B146" s="2" t="s">
        <v>4111</v>
      </c>
      <c r="C146" s="413">
        <v>43081</v>
      </c>
      <c r="D146" s="113" t="s">
        <v>4112</v>
      </c>
      <c r="E146" s="113" t="s">
        <v>4113</v>
      </c>
      <c r="F146" s="4"/>
      <c r="G146" s="4"/>
      <c r="H146" s="4"/>
      <c r="I146" s="4"/>
      <c r="J146" s="4"/>
      <c r="K146" s="4"/>
      <c r="L146" s="4"/>
      <c r="M146" s="4"/>
      <c r="N146" s="4"/>
      <c r="O146" s="4"/>
      <c r="P146" s="4"/>
      <c r="Q146" s="4"/>
      <c r="R146" s="4"/>
      <c r="S146" s="4"/>
      <c r="T146" s="4"/>
      <c r="U146" s="4"/>
      <c r="V146" s="4"/>
      <c r="W146" s="4"/>
      <c r="X146" s="4"/>
      <c r="Y146" s="4"/>
    </row>
    <row r="147" spans="1:25" ht="33.75" customHeight="1">
      <c r="A147" s="15">
        <v>146</v>
      </c>
      <c r="B147" s="2" t="s">
        <v>4114</v>
      </c>
      <c r="C147" s="420">
        <v>43087</v>
      </c>
      <c r="D147" s="113" t="s">
        <v>4115</v>
      </c>
      <c r="E147" s="113" t="s">
        <v>4113</v>
      </c>
      <c r="F147" s="4"/>
      <c r="G147" s="4"/>
      <c r="H147" s="4"/>
      <c r="I147" s="4"/>
      <c r="J147" s="4"/>
      <c r="K147" s="4"/>
      <c r="L147" s="4"/>
      <c r="M147" s="4"/>
      <c r="N147" s="4"/>
      <c r="O147" s="4"/>
      <c r="P147" s="4"/>
      <c r="Q147" s="4"/>
      <c r="R147" s="4"/>
      <c r="S147" s="4"/>
      <c r="T147" s="4"/>
      <c r="U147" s="4"/>
      <c r="V147" s="4"/>
      <c r="W147" s="4"/>
      <c r="X147" s="4"/>
      <c r="Y147" s="4"/>
    </row>
    <row r="148" spans="1:25" ht="86.4">
      <c r="A148" s="15">
        <v>147</v>
      </c>
      <c r="B148" s="2" t="s">
        <v>4116</v>
      </c>
      <c r="C148" s="413">
        <v>43367</v>
      </c>
      <c r="D148" s="113" t="s">
        <v>4117</v>
      </c>
      <c r="E148" s="15" t="s">
        <v>4118</v>
      </c>
      <c r="F148" s="4"/>
      <c r="G148" s="4"/>
      <c r="H148" s="4"/>
      <c r="I148" s="4"/>
      <c r="J148" s="4"/>
      <c r="K148" s="4"/>
      <c r="L148" s="4"/>
      <c r="M148" s="4"/>
      <c r="N148" s="4"/>
      <c r="O148" s="4"/>
      <c r="P148" s="4"/>
      <c r="Q148" s="4"/>
      <c r="R148" s="4"/>
      <c r="S148" s="4"/>
      <c r="T148" s="4"/>
      <c r="U148" s="4"/>
      <c r="V148" s="4"/>
      <c r="W148" s="4"/>
      <c r="X148" s="4"/>
      <c r="Y148" s="4"/>
    </row>
    <row r="149" spans="1:25" ht="33.75" customHeight="1">
      <c r="A149" s="15">
        <v>148</v>
      </c>
      <c r="B149" s="2" t="s">
        <v>4119</v>
      </c>
      <c r="C149" s="413">
        <v>43367</v>
      </c>
      <c r="D149" s="113" t="s">
        <v>4120</v>
      </c>
      <c r="E149" s="15" t="s">
        <v>4118</v>
      </c>
      <c r="F149" s="4"/>
      <c r="G149" s="4"/>
      <c r="H149" s="4"/>
      <c r="I149" s="4"/>
      <c r="J149" s="4"/>
      <c r="K149" s="4"/>
      <c r="L149" s="4"/>
      <c r="M149" s="4"/>
      <c r="N149" s="4"/>
      <c r="O149" s="4"/>
      <c r="P149" s="4"/>
      <c r="Q149" s="4"/>
      <c r="R149" s="4"/>
      <c r="S149" s="4"/>
      <c r="T149" s="4"/>
      <c r="U149" s="4"/>
      <c r="V149" s="4"/>
      <c r="W149" s="4"/>
      <c r="X149" s="4"/>
      <c r="Y149" s="4"/>
    </row>
    <row r="150" spans="1:25" ht="33.75" customHeight="1">
      <c r="A150" s="233">
        <v>149</v>
      </c>
      <c r="B150" s="32" t="s">
        <v>4121</v>
      </c>
      <c r="C150" s="413">
        <v>43378</v>
      </c>
      <c r="D150" s="113" t="s">
        <v>4122</v>
      </c>
      <c r="E150" s="15" t="s">
        <v>4123</v>
      </c>
      <c r="F150" s="4"/>
      <c r="G150" s="4"/>
      <c r="H150" s="4"/>
      <c r="I150" s="4"/>
      <c r="J150" s="4"/>
      <c r="K150" s="4"/>
      <c r="L150" s="4"/>
      <c r="M150" s="4"/>
      <c r="N150" s="4"/>
      <c r="O150" s="4"/>
      <c r="P150" s="4"/>
      <c r="Q150" s="4"/>
      <c r="R150" s="4"/>
      <c r="S150" s="4"/>
      <c r="T150" s="4"/>
      <c r="U150" s="4"/>
      <c r="V150" s="4"/>
      <c r="W150" s="4"/>
      <c r="X150" s="4"/>
      <c r="Y150" s="4"/>
    </row>
    <row r="151" spans="1:25" ht="33.75" customHeight="1">
      <c r="A151" s="15">
        <v>150</v>
      </c>
      <c r="B151" s="2" t="s">
        <v>4124</v>
      </c>
      <c r="C151" s="413">
        <v>43378</v>
      </c>
      <c r="D151" s="113" t="s">
        <v>4125</v>
      </c>
      <c r="E151" s="15" t="s">
        <v>4123</v>
      </c>
      <c r="F151" s="4"/>
      <c r="G151" s="4"/>
      <c r="H151" s="4"/>
      <c r="I151" s="4"/>
      <c r="J151" s="4"/>
      <c r="K151" s="4"/>
      <c r="L151" s="4"/>
      <c r="M151" s="4"/>
      <c r="N151" s="4"/>
      <c r="O151" s="4"/>
      <c r="P151" s="4"/>
      <c r="Q151" s="4"/>
      <c r="R151" s="4"/>
      <c r="S151" s="4"/>
      <c r="T151" s="4"/>
      <c r="U151" s="4"/>
      <c r="V151" s="4"/>
      <c r="W151" s="4"/>
      <c r="X151" s="4"/>
      <c r="Y151" s="4"/>
    </row>
    <row r="152" spans="1:25" ht="33.75" customHeight="1">
      <c r="A152" s="15">
        <v>151</v>
      </c>
      <c r="B152" s="2" t="s">
        <v>4126</v>
      </c>
      <c r="C152" s="413">
        <v>43396</v>
      </c>
      <c r="D152" s="113" t="s">
        <v>4127</v>
      </c>
      <c r="E152" s="113" t="s">
        <v>4128</v>
      </c>
      <c r="F152" s="4"/>
      <c r="G152" s="4"/>
      <c r="H152" s="4"/>
      <c r="I152" s="4"/>
      <c r="J152" s="4"/>
      <c r="K152" s="4"/>
      <c r="L152" s="4"/>
      <c r="M152" s="4"/>
      <c r="N152" s="4"/>
      <c r="O152" s="4"/>
      <c r="P152" s="4"/>
      <c r="Q152" s="4"/>
      <c r="R152" s="4"/>
      <c r="S152" s="4"/>
      <c r="T152" s="4"/>
      <c r="U152" s="4"/>
      <c r="V152" s="4"/>
      <c r="W152" s="4"/>
      <c r="X152" s="4"/>
      <c r="Y152" s="4"/>
    </row>
    <row r="153" spans="1:25" ht="33.75" customHeight="1">
      <c r="A153" s="15">
        <v>152</v>
      </c>
      <c r="B153" s="2" t="s">
        <v>876</v>
      </c>
      <c r="C153" s="432">
        <v>44294</v>
      </c>
      <c r="D153" s="433" t="s">
        <v>877</v>
      </c>
      <c r="E153" s="434" t="s">
        <v>878</v>
      </c>
      <c r="F153" s="4"/>
      <c r="G153" s="4"/>
      <c r="H153" s="4"/>
      <c r="I153" s="4"/>
      <c r="J153" s="4"/>
      <c r="K153" s="4"/>
      <c r="L153" s="4"/>
      <c r="M153" s="4"/>
      <c r="N153" s="4"/>
      <c r="O153" s="4"/>
      <c r="P153" s="4"/>
      <c r="Q153" s="4"/>
      <c r="R153" s="4"/>
      <c r="S153" s="4"/>
      <c r="T153" s="4"/>
      <c r="U153" s="4"/>
      <c r="V153" s="4"/>
      <c r="W153" s="4"/>
      <c r="X153" s="4"/>
      <c r="Y153" s="4"/>
    </row>
    <row r="154" spans="1:25" ht="33.75" customHeight="1">
      <c r="A154" s="15">
        <v>153</v>
      </c>
      <c r="B154" s="2" t="s">
        <v>4129</v>
      </c>
      <c r="C154" s="432">
        <v>44295</v>
      </c>
      <c r="D154" s="433" t="s">
        <v>4130</v>
      </c>
      <c r="E154" s="434" t="s">
        <v>878</v>
      </c>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33"/>
      <c r="C155" s="4"/>
      <c r="D155" s="4"/>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33"/>
      <c r="C156" s="4"/>
      <c r="D156" s="4"/>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33"/>
      <c r="C157" s="4"/>
      <c r="D157" s="4"/>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33"/>
      <c r="C158" s="4"/>
      <c r="D158" s="4"/>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33"/>
      <c r="C159" s="4"/>
      <c r="D159" s="4"/>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33"/>
      <c r="C160" s="4"/>
      <c r="D160" s="4"/>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33"/>
      <c r="C161" s="4"/>
      <c r="D161" s="4"/>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33"/>
      <c r="C162" s="4"/>
      <c r="D162" s="4"/>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33"/>
      <c r="C163" s="4"/>
      <c r="D163" s="4"/>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33"/>
      <c r="C164" s="4"/>
      <c r="D164" s="4"/>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33"/>
      <c r="C165" s="4"/>
      <c r="D165" s="4"/>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33"/>
      <c r="C166" s="4"/>
      <c r="D166" s="4"/>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33"/>
      <c r="C167" s="4"/>
      <c r="D167" s="4"/>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33"/>
      <c r="C168" s="4"/>
      <c r="D168" s="4"/>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33"/>
      <c r="C169" s="4"/>
      <c r="D169" s="4"/>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33"/>
      <c r="C170" s="4"/>
      <c r="D170" s="4"/>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33"/>
      <c r="C171" s="4"/>
      <c r="D171" s="4"/>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33"/>
      <c r="C172" s="4"/>
      <c r="D172" s="4"/>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33"/>
      <c r="C173" s="4"/>
      <c r="D173" s="4"/>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33"/>
      <c r="C174" s="4"/>
      <c r="D174" s="4"/>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33"/>
      <c r="C175" s="4"/>
      <c r="D175" s="4"/>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33"/>
      <c r="C176" s="4"/>
      <c r="D176" s="4"/>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33"/>
      <c r="C177" s="4"/>
      <c r="D177" s="4"/>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33"/>
      <c r="C178" s="4"/>
      <c r="D178" s="4"/>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33"/>
      <c r="C179" s="4"/>
      <c r="D179" s="4"/>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33"/>
      <c r="C180" s="4"/>
      <c r="D180" s="4"/>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33"/>
      <c r="C181" s="4"/>
      <c r="D181" s="4"/>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33"/>
      <c r="C182" s="4"/>
      <c r="D182" s="4"/>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33"/>
      <c r="C183" s="4"/>
      <c r="D183" s="4"/>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33"/>
      <c r="C184" s="4"/>
      <c r="D184" s="4"/>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33"/>
      <c r="C185" s="4"/>
      <c r="D185" s="4"/>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33"/>
      <c r="C186" s="4"/>
      <c r="D186" s="4"/>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33"/>
      <c r="C187" s="4"/>
      <c r="D187" s="4"/>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33"/>
      <c r="C188" s="4"/>
      <c r="D188" s="4"/>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33"/>
      <c r="C189" s="4"/>
      <c r="D189" s="4"/>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33"/>
      <c r="C190" s="4"/>
      <c r="D190" s="4"/>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33"/>
      <c r="C191" s="4"/>
      <c r="D191" s="4"/>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33"/>
      <c r="C192" s="4"/>
      <c r="D192" s="4"/>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33"/>
      <c r="C193" s="4"/>
      <c r="D193" s="4"/>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33"/>
      <c r="C194" s="4"/>
      <c r="D194" s="4"/>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33"/>
      <c r="C195" s="4"/>
      <c r="D195" s="4"/>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33"/>
      <c r="C196" s="4"/>
      <c r="D196" s="4"/>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33"/>
      <c r="C197" s="4"/>
      <c r="D197" s="4"/>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33"/>
      <c r="C198" s="4"/>
      <c r="D198" s="4"/>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33"/>
      <c r="C199" s="4"/>
      <c r="D199" s="4"/>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33"/>
      <c r="C200" s="4"/>
      <c r="D200" s="4"/>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33"/>
      <c r="C201" s="4"/>
      <c r="D201" s="4"/>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33"/>
      <c r="C202" s="4"/>
      <c r="D202" s="4"/>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33"/>
      <c r="C203" s="4"/>
      <c r="D203" s="4"/>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33"/>
      <c r="C204" s="4"/>
      <c r="D204" s="4"/>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33"/>
      <c r="C205" s="4"/>
      <c r="D205" s="4"/>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33"/>
      <c r="C206" s="4"/>
      <c r="D206" s="4"/>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33"/>
      <c r="C207" s="4"/>
      <c r="D207" s="4"/>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33"/>
      <c r="C208" s="4"/>
      <c r="D208" s="4"/>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33"/>
      <c r="C209" s="4"/>
      <c r="D209" s="4"/>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33"/>
      <c r="C210" s="4"/>
      <c r="D210" s="4"/>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33"/>
      <c r="C211" s="4"/>
      <c r="D211" s="4"/>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33"/>
      <c r="C212" s="4"/>
      <c r="D212" s="4"/>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33"/>
      <c r="C213" s="4"/>
      <c r="D213" s="4"/>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33"/>
      <c r="C214" s="4"/>
      <c r="D214" s="4"/>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33"/>
      <c r="C215" s="4"/>
      <c r="D215" s="4"/>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33"/>
      <c r="C216" s="4"/>
      <c r="D216" s="4"/>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33"/>
      <c r="C217" s="4"/>
      <c r="D217" s="4"/>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33"/>
      <c r="C218" s="4"/>
      <c r="D218" s="4"/>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33"/>
      <c r="C219" s="4"/>
      <c r="D219" s="4"/>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33"/>
      <c r="C220" s="4"/>
      <c r="D220" s="4"/>
      <c r="E220" s="4"/>
      <c r="F220" s="4"/>
      <c r="G220" s="4"/>
      <c r="H220" s="4"/>
      <c r="I220" s="4"/>
      <c r="J220" s="4"/>
      <c r="K220" s="4"/>
      <c r="L220" s="4"/>
      <c r="M220" s="4"/>
      <c r="N220" s="4"/>
      <c r="O220" s="4"/>
      <c r="P220" s="4"/>
      <c r="Q220" s="4"/>
      <c r="R220" s="4"/>
      <c r="S220" s="4"/>
      <c r="T220" s="4"/>
      <c r="U220" s="4"/>
      <c r="V220" s="4"/>
      <c r="W220" s="4"/>
      <c r="X220" s="4"/>
      <c r="Y220" s="4"/>
    </row>
    <row r="221" spans="1:25" ht="33.75" customHeight="1">
      <c r="A221" s="4"/>
      <c r="B221" s="33"/>
      <c r="C221" s="4"/>
      <c r="D221" s="4"/>
      <c r="E221" s="4"/>
      <c r="F221" s="4"/>
      <c r="G221" s="4"/>
      <c r="H221" s="4"/>
      <c r="I221" s="4"/>
      <c r="J221" s="4"/>
      <c r="K221" s="4"/>
      <c r="L221" s="4"/>
      <c r="M221" s="4"/>
      <c r="N221" s="4"/>
      <c r="O221" s="4"/>
      <c r="P221" s="4"/>
      <c r="Q221" s="4"/>
      <c r="R221" s="4"/>
      <c r="S221" s="4"/>
      <c r="T221" s="4"/>
      <c r="U221" s="4"/>
      <c r="V221" s="4"/>
      <c r="W221" s="4"/>
      <c r="X221" s="4"/>
      <c r="Y221" s="4"/>
    </row>
    <row r="222" spans="1:25" ht="33.75" customHeight="1">
      <c r="A222" s="4"/>
      <c r="B222" s="33"/>
      <c r="C222" s="4"/>
      <c r="D222" s="4"/>
      <c r="E222" s="4"/>
      <c r="F222" s="4"/>
      <c r="G222" s="4"/>
      <c r="H222" s="4"/>
      <c r="I222" s="4"/>
      <c r="J222" s="4"/>
      <c r="K222" s="4"/>
      <c r="L222" s="4"/>
      <c r="M222" s="4"/>
      <c r="N222" s="4"/>
      <c r="O222" s="4"/>
      <c r="P222" s="4"/>
      <c r="Q222" s="4"/>
      <c r="R222" s="4"/>
      <c r="S222" s="4"/>
      <c r="T222" s="4"/>
      <c r="U222" s="4"/>
      <c r="V222" s="4"/>
      <c r="W222" s="4"/>
      <c r="X222" s="4"/>
      <c r="Y222" s="4"/>
    </row>
    <row r="223" spans="1:25" ht="33.75" customHeight="1">
      <c r="A223" s="4"/>
      <c r="B223" s="33"/>
      <c r="C223" s="4"/>
      <c r="D223" s="4"/>
      <c r="E223" s="4"/>
      <c r="F223" s="4"/>
      <c r="G223" s="4"/>
      <c r="H223" s="4"/>
      <c r="I223" s="4"/>
      <c r="J223" s="4"/>
      <c r="K223" s="4"/>
      <c r="L223" s="4"/>
      <c r="M223" s="4"/>
      <c r="N223" s="4"/>
      <c r="O223" s="4"/>
      <c r="P223" s="4"/>
      <c r="Q223" s="4"/>
      <c r="R223" s="4"/>
      <c r="S223" s="4"/>
      <c r="T223" s="4"/>
      <c r="U223" s="4"/>
      <c r="V223" s="4"/>
      <c r="W223" s="4"/>
      <c r="X223" s="4"/>
      <c r="Y223" s="4"/>
    </row>
    <row r="224" spans="1:25" ht="33.75" customHeight="1">
      <c r="A224" s="4"/>
      <c r="B224" s="33"/>
      <c r="C224" s="4"/>
      <c r="D224" s="4"/>
      <c r="E224" s="4"/>
      <c r="F224" s="4"/>
      <c r="G224" s="4"/>
      <c r="H224" s="4"/>
      <c r="I224" s="4"/>
      <c r="J224" s="4"/>
      <c r="K224" s="4"/>
      <c r="L224" s="4"/>
      <c r="M224" s="4"/>
      <c r="N224" s="4"/>
      <c r="O224" s="4"/>
      <c r="P224" s="4"/>
      <c r="Q224" s="4"/>
      <c r="R224" s="4"/>
      <c r="S224" s="4"/>
      <c r="T224" s="4"/>
      <c r="U224" s="4"/>
      <c r="V224" s="4"/>
      <c r="W224" s="4"/>
      <c r="X224" s="4"/>
      <c r="Y224" s="4"/>
    </row>
    <row r="225" spans="1:25" ht="33.75" customHeight="1">
      <c r="A225" s="4"/>
      <c r="B225" s="33"/>
      <c r="C225" s="4"/>
      <c r="D225" s="4"/>
      <c r="E225" s="4"/>
      <c r="F225" s="4"/>
      <c r="G225" s="4"/>
      <c r="H225" s="4"/>
      <c r="I225" s="4"/>
      <c r="J225" s="4"/>
      <c r="K225" s="4"/>
      <c r="L225" s="4"/>
      <c r="M225" s="4"/>
      <c r="N225" s="4"/>
      <c r="O225" s="4"/>
      <c r="P225" s="4"/>
      <c r="Q225" s="4"/>
      <c r="R225" s="4"/>
      <c r="S225" s="4"/>
      <c r="T225" s="4"/>
      <c r="U225" s="4"/>
      <c r="V225" s="4"/>
      <c r="W225" s="4"/>
      <c r="X225" s="4"/>
      <c r="Y225" s="4"/>
    </row>
    <row r="226" spans="1:25" ht="33.75" customHeight="1">
      <c r="A226" s="4"/>
      <c r="B226" s="33"/>
      <c r="C226" s="4"/>
      <c r="D226" s="4"/>
      <c r="E226" s="4"/>
      <c r="F226" s="4"/>
      <c r="G226" s="4"/>
      <c r="H226" s="4"/>
      <c r="I226" s="4"/>
      <c r="J226" s="4"/>
      <c r="K226" s="4"/>
      <c r="L226" s="4"/>
      <c r="M226" s="4"/>
      <c r="N226" s="4"/>
      <c r="O226" s="4"/>
      <c r="P226" s="4"/>
      <c r="Q226" s="4"/>
      <c r="R226" s="4"/>
      <c r="S226" s="4"/>
      <c r="T226" s="4"/>
      <c r="U226" s="4"/>
      <c r="V226" s="4"/>
      <c r="W226" s="4"/>
      <c r="X226" s="4"/>
      <c r="Y226" s="4"/>
    </row>
    <row r="227" spans="1:25" ht="33.75" customHeight="1">
      <c r="A227" s="4"/>
      <c r="B227" s="33"/>
      <c r="C227" s="4"/>
      <c r="D227" s="4"/>
      <c r="E227" s="4"/>
      <c r="F227" s="4"/>
      <c r="G227" s="4"/>
      <c r="H227" s="4"/>
      <c r="I227" s="4"/>
      <c r="J227" s="4"/>
      <c r="K227" s="4"/>
      <c r="L227" s="4"/>
      <c r="M227" s="4"/>
      <c r="N227" s="4"/>
      <c r="O227" s="4"/>
      <c r="P227" s="4"/>
      <c r="Q227" s="4"/>
      <c r="R227" s="4"/>
      <c r="S227" s="4"/>
      <c r="T227" s="4"/>
      <c r="U227" s="4"/>
      <c r="V227" s="4"/>
      <c r="W227" s="4"/>
      <c r="X227" s="4"/>
      <c r="Y227" s="4"/>
    </row>
    <row r="228" spans="1:25" ht="33.75" customHeight="1">
      <c r="A228" s="4"/>
      <c r="B228" s="33"/>
      <c r="C228" s="4"/>
      <c r="D228" s="4"/>
      <c r="E228" s="4"/>
      <c r="F228" s="4"/>
      <c r="G228" s="4"/>
      <c r="H228" s="4"/>
      <c r="I228" s="4"/>
      <c r="J228" s="4"/>
      <c r="K228" s="4"/>
      <c r="L228" s="4"/>
      <c r="M228" s="4"/>
      <c r="N228" s="4"/>
      <c r="O228" s="4"/>
      <c r="P228" s="4"/>
      <c r="Q228" s="4"/>
      <c r="R228" s="4"/>
      <c r="S228" s="4"/>
      <c r="T228" s="4"/>
      <c r="U228" s="4"/>
      <c r="V228" s="4"/>
      <c r="W228" s="4"/>
      <c r="X228" s="4"/>
      <c r="Y228" s="4"/>
    </row>
    <row r="229" spans="1:25" ht="33.75" customHeight="1">
      <c r="A229" s="4"/>
      <c r="B229" s="33"/>
      <c r="C229" s="4"/>
      <c r="D229" s="4"/>
      <c r="E229" s="4"/>
      <c r="F229" s="4"/>
      <c r="G229" s="4"/>
      <c r="H229" s="4"/>
      <c r="I229" s="4"/>
      <c r="J229" s="4"/>
      <c r="K229" s="4"/>
      <c r="L229" s="4"/>
      <c r="M229" s="4"/>
      <c r="N229" s="4"/>
      <c r="O229" s="4"/>
      <c r="P229" s="4"/>
      <c r="Q229" s="4"/>
      <c r="R229" s="4"/>
      <c r="S229" s="4"/>
      <c r="T229" s="4"/>
      <c r="U229" s="4"/>
      <c r="V229" s="4"/>
      <c r="W229" s="4"/>
      <c r="X229" s="4"/>
      <c r="Y229" s="4"/>
    </row>
    <row r="230" spans="1:25" ht="33.75" customHeight="1">
      <c r="A230" s="4"/>
      <c r="B230" s="33"/>
      <c r="C230" s="4"/>
      <c r="D230" s="4"/>
      <c r="E230" s="4"/>
      <c r="F230" s="4"/>
      <c r="G230" s="4"/>
      <c r="H230" s="4"/>
      <c r="I230" s="4"/>
      <c r="J230" s="4"/>
      <c r="K230" s="4"/>
      <c r="L230" s="4"/>
      <c r="M230" s="4"/>
      <c r="N230" s="4"/>
      <c r="O230" s="4"/>
      <c r="P230" s="4"/>
      <c r="Q230" s="4"/>
      <c r="R230" s="4"/>
      <c r="S230" s="4"/>
      <c r="T230" s="4"/>
      <c r="U230" s="4"/>
      <c r="V230" s="4"/>
      <c r="W230" s="4"/>
      <c r="X230" s="4"/>
      <c r="Y230" s="4"/>
    </row>
    <row r="231" spans="1:25" ht="33.75" customHeight="1">
      <c r="A231" s="4"/>
      <c r="B231" s="33"/>
      <c r="C231" s="4"/>
      <c r="D231" s="4"/>
      <c r="E231" s="4"/>
      <c r="F231" s="4"/>
      <c r="G231" s="4"/>
      <c r="H231" s="4"/>
      <c r="I231" s="4"/>
      <c r="J231" s="4"/>
      <c r="K231" s="4"/>
      <c r="L231" s="4"/>
      <c r="M231" s="4"/>
      <c r="N231" s="4"/>
      <c r="O231" s="4"/>
      <c r="P231" s="4"/>
      <c r="Q231" s="4"/>
      <c r="R231" s="4"/>
      <c r="S231" s="4"/>
      <c r="T231" s="4"/>
      <c r="U231" s="4"/>
      <c r="V231" s="4"/>
      <c r="W231" s="4"/>
      <c r="X231" s="4"/>
      <c r="Y231" s="4"/>
    </row>
    <row r="232" spans="1:25" ht="33.75" customHeight="1">
      <c r="A232" s="4"/>
      <c r="B232" s="33"/>
      <c r="C232" s="4"/>
      <c r="D232" s="4"/>
      <c r="E232" s="4"/>
      <c r="F232" s="4"/>
      <c r="G232" s="4"/>
      <c r="H232" s="4"/>
      <c r="I232" s="4"/>
      <c r="J232" s="4"/>
      <c r="K232" s="4"/>
      <c r="L232" s="4"/>
      <c r="M232" s="4"/>
      <c r="N232" s="4"/>
      <c r="O232" s="4"/>
      <c r="P232" s="4"/>
      <c r="Q232" s="4"/>
      <c r="R232" s="4"/>
      <c r="S232" s="4"/>
      <c r="T232" s="4"/>
      <c r="U232" s="4"/>
      <c r="V232" s="4"/>
      <c r="W232" s="4"/>
      <c r="X232" s="4"/>
      <c r="Y232" s="4"/>
    </row>
    <row r="233" spans="1:25" ht="33.75" customHeight="1">
      <c r="A233" s="4"/>
      <c r="B233" s="33"/>
      <c r="C233" s="4"/>
      <c r="D233" s="4"/>
      <c r="E233" s="4"/>
      <c r="F233" s="4"/>
      <c r="G233" s="4"/>
      <c r="H233" s="4"/>
      <c r="I233" s="4"/>
      <c r="J233" s="4"/>
      <c r="K233" s="4"/>
      <c r="L233" s="4"/>
      <c r="M233" s="4"/>
      <c r="N233" s="4"/>
      <c r="O233" s="4"/>
      <c r="P233" s="4"/>
      <c r="Q233" s="4"/>
      <c r="R233" s="4"/>
      <c r="S233" s="4"/>
      <c r="T233" s="4"/>
      <c r="U233" s="4"/>
      <c r="V233" s="4"/>
      <c r="W233" s="4"/>
      <c r="X233" s="4"/>
      <c r="Y233" s="4"/>
    </row>
    <row r="234" spans="1:25" ht="33.75" customHeight="1">
      <c r="A234" s="4"/>
      <c r="B234" s="33"/>
      <c r="C234" s="4"/>
      <c r="D234" s="4"/>
      <c r="E234" s="4"/>
      <c r="F234" s="4"/>
      <c r="G234" s="4"/>
      <c r="H234" s="4"/>
      <c r="I234" s="4"/>
      <c r="J234" s="4"/>
      <c r="K234" s="4"/>
      <c r="L234" s="4"/>
      <c r="M234" s="4"/>
      <c r="N234" s="4"/>
      <c r="O234" s="4"/>
      <c r="P234" s="4"/>
      <c r="Q234" s="4"/>
      <c r="R234" s="4"/>
      <c r="S234" s="4"/>
      <c r="T234" s="4"/>
      <c r="U234" s="4"/>
      <c r="V234" s="4"/>
      <c r="W234" s="4"/>
      <c r="X234" s="4"/>
      <c r="Y234" s="4"/>
    </row>
    <row r="235" spans="1:25" ht="33.75" customHeight="1">
      <c r="A235" s="4"/>
      <c r="B235" s="33"/>
      <c r="C235" s="4"/>
      <c r="D235" s="4"/>
      <c r="E235" s="4"/>
      <c r="F235" s="4"/>
      <c r="G235" s="4"/>
      <c r="H235" s="4"/>
      <c r="I235" s="4"/>
      <c r="J235" s="4"/>
      <c r="K235" s="4"/>
      <c r="L235" s="4"/>
      <c r="M235" s="4"/>
      <c r="N235" s="4"/>
      <c r="O235" s="4"/>
      <c r="P235" s="4"/>
      <c r="Q235" s="4"/>
      <c r="R235" s="4"/>
      <c r="S235" s="4"/>
      <c r="T235" s="4"/>
      <c r="U235" s="4"/>
      <c r="V235" s="4"/>
      <c r="W235" s="4"/>
      <c r="X235" s="4"/>
      <c r="Y235" s="4"/>
    </row>
    <row r="236" spans="1:25" ht="33.75" customHeight="1">
      <c r="A236" s="4"/>
      <c r="B236" s="33"/>
      <c r="C236" s="4"/>
      <c r="D236" s="4"/>
      <c r="E236" s="4"/>
      <c r="F236" s="4"/>
      <c r="G236" s="4"/>
      <c r="H236" s="4"/>
      <c r="I236" s="4"/>
      <c r="J236" s="4"/>
      <c r="K236" s="4"/>
      <c r="L236" s="4"/>
      <c r="M236" s="4"/>
      <c r="N236" s="4"/>
      <c r="O236" s="4"/>
      <c r="P236" s="4"/>
      <c r="Q236" s="4"/>
      <c r="R236" s="4"/>
      <c r="S236" s="4"/>
      <c r="T236" s="4"/>
      <c r="U236" s="4"/>
      <c r="V236" s="4"/>
      <c r="W236" s="4"/>
      <c r="X236" s="4"/>
      <c r="Y236" s="4"/>
    </row>
    <row r="237" spans="1:25" ht="33.75" customHeight="1">
      <c r="A237" s="4"/>
      <c r="B237" s="33"/>
      <c r="C237" s="4"/>
      <c r="D237" s="4"/>
      <c r="E237" s="4"/>
      <c r="F237" s="4"/>
      <c r="G237" s="4"/>
      <c r="H237" s="4"/>
      <c r="I237" s="4"/>
      <c r="J237" s="4"/>
      <c r="K237" s="4"/>
      <c r="L237" s="4"/>
      <c r="M237" s="4"/>
      <c r="N237" s="4"/>
      <c r="O237" s="4"/>
      <c r="P237" s="4"/>
      <c r="Q237" s="4"/>
      <c r="R237" s="4"/>
      <c r="S237" s="4"/>
      <c r="T237" s="4"/>
      <c r="U237" s="4"/>
      <c r="V237" s="4"/>
      <c r="W237" s="4"/>
      <c r="X237" s="4"/>
      <c r="Y237" s="4"/>
    </row>
    <row r="238" spans="1:25" ht="33.75" customHeight="1">
      <c r="A238" s="4"/>
      <c r="B238" s="33"/>
      <c r="C238" s="4"/>
      <c r="D238" s="4"/>
      <c r="E238" s="4"/>
      <c r="F238" s="4"/>
      <c r="G238" s="4"/>
      <c r="H238" s="4"/>
      <c r="I238" s="4"/>
      <c r="J238" s="4"/>
      <c r="K238" s="4"/>
      <c r="L238" s="4"/>
      <c r="M238" s="4"/>
      <c r="N238" s="4"/>
      <c r="O238" s="4"/>
      <c r="P238" s="4"/>
      <c r="Q238" s="4"/>
      <c r="R238" s="4"/>
      <c r="S238" s="4"/>
      <c r="T238" s="4"/>
      <c r="U238" s="4"/>
      <c r="V238" s="4"/>
      <c r="W238" s="4"/>
      <c r="X238" s="4"/>
      <c r="Y238" s="4"/>
    </row>
    <row r="239" spans="1:25" ht="33.75" customHeight="1">
      <c r="A239" s="4"/>
      <c r="B239" s="33"/>
      <c r="C239" s="4"/>
      <c r="D239" s="4"/>
      <c r="E239" s="4"/>
      <c r="F239" s="4"/>
      <c r="G239" s="4"/>
      <c r="H239" s="4"/>
      <c r="I239" s="4"/>
      <c r="J239" s="4"/>
      <c r="K239" s="4"/>
      <c r="L239" s="4"/>
      <c r="M239" s="4"/>
      <c r="N239" s="4"/>
      <c r="O239" s="4"/>
      <c r="P239" s="4"/>
      <c r="Q239" s="4"/>
      <c r="R239" s="4"/>
      <c r="S239" s="4"/>
      <c r="T239" s="4"/>
      <c r="U239" s="4"/>
      <c r="V239" s="4"/>
      <c r="W239" s="4"/>
      <c r="X239" s="4"/>
      <c r="Y239" s="4"/>
    </row>
    <row r="240" spans="1:25" ht="33.75" customHeight="1">
      <c r="A240" s="4"/>
      <c r="B240" s="33"/>
      <c r="C240" s="4"/>
      <c r="D240" s="4"/>
      <c r="E240" s="4"/>
      <c r="F240" s="4"/>
      <c r="G240" s="4"/>
      <c r="H240" s="4"/>
      <c r="I240" s="4"/>
      <c r="J240" s="4"/>
      <c r="K240" s="4"/>
      <c r="L240" s="4"/>
      <c r="M240" s="4"/>
      <c r="N240" s="4"/>
      <c r="O240" s="4"/>
      <c r="P240" s="4"/>
      <c r="Q240" s="4"/>
      <c r="R240" s="4"/>
      <c r="S240" s="4"/>
      <c r="T240" s="4"/>
      <c r="U240" s="4"/>
      <c r="V240" s="4"/>
      <c r="W240" s="4"/>
      <c r="X240" s="4"/>
      <c r="Y240" s="4"/>
    </row>
    <row r="241" spans="1:25" ht="33.75" customHeight="1">
      <c r="A241" s="4"/>
      <c r="B241" s="33"/>
      <c r="C241" s="4"/>
      <c r="D241" s="4"/>
      <c r="E241" s="4"/>
      <c r="F241" s="4"/>
      <c r="G241" s="4"/>
      <c r="H241" s="4"/>
      <c r="I241" s="4"/>
      <c r="J241" s="4"/>
      <c r="K241" s="4"/>
      <c r="L241" s="4"/>
      <c r="M241" s="4"/>
      <c r="N241" s="4"/>
      <c r="O241" s="4"/>
      <c r="P241" s="4"/>
      <c r="Q241" s="4"/>
      <c r="R241" s="4"/>
      <c r="S241" s="4"/>
      <c r="T241" s="4"/>
      <c r="U241" s="4"/>
      <c r="V241" s="4"/>
      <c r="W241" s="4"/>
      <c r="X241" s="4"/>
      <c r="Y241" s="4"/>
    </row>
    <row r="242" spans="1:25" ht="33.75" customHeight="1">
      <c r="A242" s="4"/>
      <c r="B242" s="33"/>
      <c r="C242" s="4"/>
      <c r="D242" s="4"/>
      <c r="E242" s="4"/>
      <c r="F242" s="4"/>
      <c r="G242" s="4"/>
      <c r="H242" s="4"/>
      <c r="I242" s="4"/>
      <c r="J242" s="4"/>
      <c r="K242" s="4"/>
      <c r="L242" s="4"/>
      <c r="M242" s="4"/>
      <c r="N242" s="4"/>
      <c r="O242" s="4"/>
      <c r="P242" s="4"/>
      <c r="Q242" s="4"/>
      <c r="R242" s="4"/>
      <c r="S242" s="4"/>
      <c r="T242" s="4"/>
      <c r="U242" s="4"/>
      <c r="V242" s="4"/>
      <c r="W242" s="4"/>
      <c r="X242" s="4"/>
      <c r="Y242" s="4"/>
    </row>
    <row r="243" spans="1:25" ht="33.75" customHeight="1">
      <c r="A243" s="4"/>
      <c r="B243" s="33"/>
      <c r="C243" s="4"/>
      <c r="D243" s="4"/>
      <c r="E243" s="4"/>
      <c r="F243" s="4"/>
      <c r="G243" s="4"/>
      <c r="H243" s="4"/>
      <c r="I243" s="4"/>
      <c r="J243" s="4"/>
      <c r="K243" s="4"/>
      <c r="L243" s="4"/>
      <c r="M243" s="4"/>
      <c r="N243" s="4"/>
      <c r="O243" s="4"/>
      <c r="P243" s="4"/>
      <c r="Q243" s="4"/>
      <c r="R243" s="4"/>
      <c r="S243" s="4"/>
      <c r="T243" s="4"/>
      <c r="U243" s="4"/>
      <c r="V243" s="4"/>
      <c r="W243" s="4"/>
      <c r="X243" s="4"/>
      <c r="Y243" s="4"/>
    </row>
    <row r="244" spans="1:25" ht="33.75" customHeight="1">
      <c r="A244" s="4"/>
      <c r="B244" s="33"/>
      <c r="C244" s="4"/>
      <c r="D244" s="4"/>
      <c r="E244" s="4"/>
      <c r="F244" s="4"/>
      <c r="G244" s="4"/>
      <c r="H244" s="4"/>
      <c r="I244" s="4"/>
      <c r="J244" s="4"/>
      <c r="K244" s="4"/>
      <c r="L244" s="4"/>
      <c r="M244" s="4"/>
      <c r="N244" s="4"/>
      <c r="O244" s="4"/>
      <c r="P244" s="4"/>
      <c r="Q244" s="4"/>
      <c r="R244" s="4"/>
      <c r="S244" s="4"/>
      <c r="T244" s="4"/>
      <c r="U244" s="4"/>
      <c r="V244" s="4"/>
      <c r="W244" s="4"/>
      <c r="X244" s="4"/>
      <c r="Y244" s="4"/>
    </row>
    <row r="245" spans="1:25" ht="33.75" customHeight="1">
      <c r="A245" s="4"/>
      <c r="B245" s="33"/>
      <c r="C245" s="4"/>
      <c r="D245" s="4"/>
      <c r="E245" s="4"/>
      <c r="F245" s="4"/>
      <c r="G245" s="4"/>
      <c r="H245" s="4"/>
      <c r="I245" s="4"/>
      <c r="J245" s="4"/>
      <c r="K245" s="4"/>
      <c r="L245" s="4"/>
      <c r="M245" s="4"/>
      <c r="N245" s="4"/>
      <c r="O245" s="4"/>
      <c r="P245" s="4"/>
      <c r="Q245" s="4"/>
      <c r="R245" s="4"/>
      <c r="S245" s="4"/>
      <c r="T245" s="4"/>
      <c r="U245" s="4"/>
      <c r="V245" s="4"/>
      <c r="W245" s="4"/>
      <c r="X245" s="4"/>
      <c r="Y245" s="4"/>
    </row>
    <row r="246" spans="1:25" ht="33.75" customHeight="1">
      <c r="A246" s="4"/>
      <c r="B246" s="33"/>
      <c r="C246" s="4"/>
      <c r="D246" s="4"/>
      <c r="E246" s="4"/>
      <c r="F246" s="4"/>
      <c r="G246" s="4"/>
      <c r="H246" s="4"/>
      <c r="I246" s="4"/>
      <c r="J246" s="4"/>
      <c r="K246" s="4"/>
      <c r="L246" s="4"/>
      <c r="M246" s="4"/>
      <c r="N246" s="4"/>
      <c r="O246" s="4"/>
      <c r="P246" s="4"/>
      <c r="Q246" s="4"/>
      <c r="R246" s="4"/>
      <c r="S246" s="4"/>
      <c r="T246" s="4"/>
      <c r="U246" s="4"/>
      <c r="V246" s="4"/>
      <c r="W246" s="4"/>
      <c r="X246" s="4"/>
      <c r="Y246" s="4"/>
    </row>
    <row r="247" spans="1:25" ht="33.75" customHeight="1">
      <c r="A247" s="4"/>
      <c r="B247" s="33"/>
      <c r="C247" s="4"/>
      <c r="D247" s="4"/>
      <c r="E247" s="4"/>
      <c r="F247" s="4"/>
      <c r="G247" s="4"/>
      <c r="H247" s="4"/>
      <c r="I247" s="4"/>
      <c r="J247" s="4"/>
      <c r="K247" s="4"/>
      <c r="L247" s="4"/>
      <c r="M247" s="4"/>
      <c r="N247" s="4"/>
      <c r="O247" s="4"/>
      <c r="P247" s="4"/>
      <c r="Q247" s="4"/>
      <c r="R247" s="4"/>
      <c r="S247" s="4"/>
      <c r="T247" s="4"/>
      <c r="U247" s="4"/>
      <c r="V247" s="4"/>
      <c r="W247" s="4"/>
      <c r="X247" s="4"/>
      <c r="Y247" s="4"/>
    </row>
    <row r="248" spans="1:25" ht="33.75" customHeight="1">
      <c r="A248" s="4"/>
      <c r="B248" s="33"/>
      <c r="C248" s="4"/>
      <c r="D248" s="4"/>
      <c r="E248" s="4"/>
      <c r="F248" s="4"/>
      <c r="G248" s="4"/>
      <c r="H248" s="4"/>
      <c r="I248" s="4"/>
      <c r="J248" s="4"/>
      <c r="K248" s="4"/>
      <c r="L248" s="4"/>
      <c r="M248" s="4"/>
      <c r="N248" s="4"/>
      <c r="O248" s="4"/>
      <c r="P248" s="4"/>
      <c r="Q248" s="4"/>
      <c r="R248" s="4"/>
      <c r="S248" s="4"/>
      <c r="T248" s="4"/>
      <c r="U248" s="4"/>
      <c r="V248" s="4"/>
      <c r="W248" s="4"/>
      <c r="X248" s="4"/>
      <c r="Y248" s="4"/>
    </row>
    <row r="249" spans="1:25" ht="33.75" customHeight="1">
      <c r="A249" s="4"/>
      <c r="B249" s="33"/>
      <c r="C249" s="4"/>
      <c r="D249" s="4"/>
      <c r="E249" s="4"/>
      <c r="F249" s="4"/>
      <c r="G249" s="4"/>
      <c r="H249" s="4"/>
      <c r="I249" s="4"/>
      <c r="J249" s="4"/>
      <c r="K249" s="4"/>
      <c r="L249" s="4"/>
      <c r="M249" s="4"/>
      <c r="N249" s="4"/>
      <c r="O249" s="4"/>
      <c r="P249" s="4"/>
      <c r="Q249" s="4"/>
      <c r="R249" s="4"/>
      <c r="S249" s="4"/>
      <c r="T249" s="4"/>
      <c r="U249" s="4"/>
      <c r="V249" s="4"/>
      <c r="W249" s="4"/>
      <c r="X249" s="4"/>
      <c r="Y249" s="4"/>
    </row>
    <row r="250" spans="1:25" ht="33.75" customHeight="1">
      <c r="A250" s="4"/>
      <c r="B250" s="33"/>
      <c r="C250" s="4"/>
      <c r="D250" s="4"/>
      <c r="E250" s="4"/>
      <c r="F250" s="4"/>
      <c r="G250" s="4"/>
      <c r="H250" s="4"/>
      <c r="I250" s="4"/>
      <c r="J250" s="4"/>
      <c r="K250" s="4"/>
      <c r="L250" s="4"/>
      <c r="M250" s="4"/>
      <c r="N250" s="4"/>
      <c r="O250" s="4"/>
      <c r="P250" s="4"/>
      <c r="Q250" s="4"/>
      <c r="R250" s="4"/>
      <c r="S250" s="4"/>
      <c r="T250" s="4"/>
      <c r="U250" s="4"/>
      <c r="V250" s="4"/>
      <c r="W250" s="4"/>
      <c r="X250" s="4"/>
      <c r="Y250" s="4"/>
    </row>
    <row r="251" spans="1:25" ht="33.75" customHeight="1">
      <c r="A251" s="4"/>
      <c r="B251" s="33"/>
      <c r="C251" s="4"/>
      <c r="D251" s="4"/>
      <c r="E251" s="4"/>
      <c r="F251" s="4"/>
      <c r="G251" s="4"/>
      <c r="H251" s="4"/>
      <c r="I251" s="4"/>
      <c r="J251" s="4"/>
      <c r="K251" s="4"/>
      <c r="L251" s="4"/>
      <c r="M251" s="4"/>
      <c r="N251" s="4"/>
      <c r="O251" s="4"/>
      <c r="P251" s="4"/>
      <c r="Q251" s="4"/>
      <c r="R251" s="4"/>
      <c r="S251" s="4"/>
      <c r="T251" s="4"/>
      <c r="U251" s="4"/>
      <c r="V251" s="4"/>
      <c r="W251" s="4"/>
      <c r="X251" s="4"/>
      <c r="Y251" s="4"/>
    </row>
    <row r="252" spans="1:25" ht="33.75" customHeight="1">
      <c r="A252" s="4"/>
      <c r="B252" s="33"/>
      <c r="C252" s="4"/>
      <c r="D252" s="4"/>
      <c r="E252" s="4"/>
      <c r="F252" s="4"/>
      <c r="G252" s="4"/>
      <c r="H252" s="4"/>
      <c r="I252" s="4"/>
      <c r="J252" s="4"/>
      <c r="K252" s="4"/>
      <c r="L252" s="4"/>
      <c r="M252" s="4"/>
      <c r="N252" s="4"/>
      <c r="O252" s="4"/>
      <c r="P252" s="4"/>
      <c r="Q252" s="4"/>
      <c r="R252" s="4"/>
      <c r="S252" s="4"/>
      <c r="T252" s="4"/>
      <c r="U252" s="4"/>
      <c r="V252" s="4"/>
      <c r="W252" s="4"/>
      <c r="X252" s="4"/>
      <c r="Y252" s="4"/>
    </row>
    <row r="253" spans="1:25" ht="33.75" customHeight="1">
      <c r="A253" s="4"/>
      <c r="B253" s="33"/>
      <c r="C253" s="4"/>
      <c r="D253" s="4"/>
      <c r="E253" s="4"/>
      <c r="F253" s="4"/>
      <c r="G253" s="4"/>
      <c r="H253" s="4"/>
      <c r="I253" s="4"/>
      <c r="J253" s="4"/>
      <c r="K253" s="4"/>
      <c r="L253" s="4"/>
      <c r="M253" s="4"/>
      <c r="N253" s="4"/>
      <c r="O253" s="4"/>
      <c r="P253" s="4"/>
      <c r="Q253" s="4"/>
      <c r="R253" s="4"/>
      <c r="S253" s="4"/>
      <c r="T253" s="4"/>
      <c r="U253" s="4"/>
      <c r="V253" s="4"/>
      <c r="W253" s="4"/>
      <c r="X253" s="4"/>
      <c r="Y253" s="4"/>
    </row>
    <row r="254" spans="1:25" ht="33.75" customHeight="1">
      <c r="A254" s="4"/>
      <c r="B254" s="33"/>
      <c r="C254" s="4"/>
      <c r="D254" s="4"/>
      <c r="E254" s="4"/>
      <c r="F254" s="4"/>
      <c r="G254" s="4"/>
      <c r="H254" s="4"/>
      <c r="I254" s="4"/>
      <c r="J254" s="4"/>
      <c r="K254" s="4"/>
      <c r="L254" s="4"/>
      <c r="M254" s="4"/>
      <c r="N254" s="4"/>
      <c r="O254" s="4"/>
      <c r="P254" s="4"/>
      <c r="Q254" s="4"/>
      <c r="R254" s="4"/>
      <c r="S254" s="4"/>
      <c r="T254" s="4"/>
      <c r="U254" s="4"/>
      <c r="V254" s="4"/>
      <c r="W254" s="4"/>
      <c r="X254" s="4"/>
      <c r="Y254" s="4"/>
    </row>
    <row r="255" spans="1:25" ht="33.75" customHeight="1">
      <c r="A255" s="4"/>
      <c r="B255" s="33"/>
      <c r="C255" s="4"/>
      <c r="D255" s="4"/>
      <c r="E255" s="4"/>
      <c r="F255" s="4"/>
      <c r="G255" s="4"/>
      <c r="H255" s="4"/>
      <c r="I255" s="4"/>
      <c r="J255" s="4"/>
      <c r="K255" s="4"/>
      <c r="L255" s="4"/>
      <c r="M255" s="4"/>
      <c r="N255" s="4"/>
      <c r="O255" s="4"/>
      <c r="P255" s="4"/>
      <c r="Q255" s="4"/>
      <c r="R255" s="4"/>
      <c r="S255" s="4"/>
      <c r="T255" s="4"/>
      <c r="U255" s="4"/>
      <c r="V255" s="4"/>
      <c r="W255" s="4"/>
      <c r="X255" s="4"/>
      <c r="Y255" s="4"/>
    </row>
    <row r="256" spans="1:25" ht="33.75" customHeight="1">
      <c r="A256" s="4"/>
      <c r="B256" s="33"/>
      <c r="C256" s="4"/>
      <c r="D256" s="4"/>
      <c r="E256" s="4"/>
      <c r="F256" s="4"/>
      <c r="G256" s="4"/>
      <c r="H256" s="4"/>
      <c r="I256" s="4"/>
      <c r="J256" s="4"/>
      <c r="K256" s="4"/>
      <c r="L256" s="4"/>
      <c r="M256" s="4"/>
      <c r="N256" s="4"/>
      <c r="O256" s="4"/>
      <c r="P256" s="4"/>
      <c r="Q256" s="4"/>
      <c r="R256" s="4"/>
      <c r="S256" s="4"/>
      <c r="T256" s="4"/>
      <c r="U256" s="4"/>
      <c r="V256" s="4"/>
      <c r="W256" s="4"/>
      <c r="X256" s="4"/>
      <c r="Y256" s="4"/>
    </row>
    <row r="257" spans="1:25" ht="33.75" customHeight="1">
      <c r="A257" s="4"/>
      <c r="B257" s="33"/>
      <c r="C257" s="4"/>
      <c r="D257" s="4"/>
      <c r="E257" s="4"/>
      <c r="F257" s="4"/>
      <c r="G257" s="4"/>
      <c r="H257" s="4"/>
      <c r="I257" s="4"/>
      <c r="J257" s="4"/>
      <c r="K257" s="4"/>
      <c r="L257" s="4"/>
      <c r="M257" s="4"/>
      <c r="N257" s="4"/>
      <c r="O257" s="4"/>
      <c r="P257" s="4"/>
      <c r="Q257" s="4"/>
      <c r="R257" s="4"/>
      <c r="S257" s="4"/>
      <c r="T257" s="4"/>
      <c r="U257" s="4"/>
      <c r="V257" s="4"/>
      <c r="W257" s="4"/>
      <c r="X257" s="4"/>
      <c r="Y257" s="4"/>
    </row>
    <row r="258" spans="1:25" ht="33.75" customHeight="1">
      <c r="A258" s="4"/>
      <c r="B258" s="33"/>
      <c r="C258" s="4"/>
      <c r="D258" s="4"/>
      <c r="E258" s="4"/>
      <c r="F258" s="4"/>
      <c r="G258" s="4"/>
      <c r="H258" s="4"/>
      <c r="I258" s="4"/>
      <c r="J258" s="4"/>
      <c r="K258" s="4"/>
      <c r="L258" s="4"/>
      <c r="M258" s="4"/>
      <c r="N258" s="4"/>
      <c r="O258" s="4"/>
      <c r="P258" s="4"/>
      <c r="Q258" s="4"/>
      <c r="R258" s="4"/>
      <c r="S258" s="4"/>
      <c r="T258" s="4"/>
      <c r="U258" s="4"/>
      <c r="V258" s="4"/>
      <c r="W258" s="4"/>
      <c r="X258" s="4"/>
      <c r="Y258" s="4"/>
    </row>
    <row r="259" spans="1:25" ht="33.75" customHeight="1">
      <c r="A259" s="4"/>
      <c r="B259" s="33"/>
      <c r="C259" s="4"/>
      <c r="D259" s="4"/>
      <c r="E259" s="4"/>
      <c r="F259" s="4"/>
      <c r="G259" s="4"/>
      <c r="H259" s="4"/>
      <c r="I259" s="4"/>
      <c r="J259" s="4"/>
      <c r="K259" s="4"/>
      <c r="L259" s="4"/>
      <c r="M259" s="4"/>
      <c r="N259" s="4"/>
      <c r="O259" s="4"/>
      <c r="P259" s="4"/>
      <c r="Q259" s="4"/>
      <c r="R259" s="4"/>
      <c r="S259" s="4"/>
      <c r="T259" s="4"/>
      <c r="U259" s="4"/>
      <c r="V259" s="4"/>
      <c r="W259" s="4"/>
      <c r="X259" s="4"/>
      <c r="Y259" s="4"/>
    </row>
    <row r="260" spans="1:25" ht="33.75" customHeight="1">
      <c r="A260" s="4"/>
      <c r="B260" s="33"/>
      <c r="C260" s="4"/>
      <c r="D260" s="4"/>
      <c r="E260" s="4"/>
      <c r="F260" s="4"/>
      <c r="G260" s="4"/>
      <c r="H260" s="4"/>
      <c r="I260" s="4"/>
      <c r="J260" s="4"/>
      <c r="K260" s="4"/>
      <c r="L260" s="4"/>
      <c r="M260" s="4"/>
      <c r="N260" s="4"/>
      <c r="O260" s="4"/>
      <c r="P260" s="4"/>
      <c r="Q260" s="4"/>
      <c r="R260" s="4"/>
      <c r="S260" s="4"/>
      <c r="T260" s="4"/>
      <c r="U260" s="4"/>
      <c r="V260" s="4"/>
      <c r="W260" s="4"/>
      <c r="X260" s="4"/>
      <c r="Y260" s="4"/>
    </row>
    <row r="261" spans="1:25" ht="33.75" customHeight="1">
      <c r="A261" s="4"/>
      <c r="B261" s="33"/>
      <c r="C261" s="4"/>
      <c r="D261" s="4"/>
      <c r="E261" s="4"/>
      <c r="F261" s="4"/>
      <c r="G261" s="4"/>
      <c r="H261" s="4"/>
      <c r="I261" s="4"/>
      <c r="J261" s="4"/>
      <c r="K261" s="4"/>
      <c r="L261" s="4"/>
      <c r="M261" s="4"/>
      <c r="N261" s="4"/>
      <c r="O261" s="4"/>
      <c r="P261" s="4"/>
      <c r="Q261" s="4"/>
      <c r="R261" s="4"/>
      <c r="S261" s="4"/>
      <c r="T261" s="4"/>
      <c r="U261" s="4"/>
      <c r="V261" s="4"/>
      <c r="W261" s="4"/>
      <c r="X261" s="4"/>
      <c r="Y261" s="4"/>
    </row>
    <row r="262" spans="1:25" ht="33.75" customHeight="1">
      <c r="A262" s="4"/>
      <c r="B262" s="33"/>
      <c r="C262" s="4"/>
      <c r="D262" s="4"/>
      <c r="E262" s="4"/>
      <c r="F262" s="4"/>
      <c r="G262" s="4"/>
      <c r="H262" s="4"/>
      <c r="I262" s="4"/>
      <c r="J262" s="4"/>
      <c r="K262" s="4"/>
      <c r="L262" s="4"/>
      <c r="M262" s="4"/>
      <c r="N262" s="4"/>
      <c r="O262" s="4"/>
      <c r="P262" s="4"/>
      <c r="Q262" s="4"/>
      <c r="R262" s="4"/>
      <c r="S262" s="4"/>
      <c r="T262" s="4"/>
      <c r="U262" s="4"/>
      <c r="V262" s="4"/>
      <c r="W262" s="4"/>
      <c r="X262" s="4"/>
      <c r="Y262" s="4"/>
    </row>
    <row r="263" spans="1:25" ht="33.75" customHeight="1">
      <c r="A263" s="4"/>
      <c r="B263" s="33"/>
      <c r="C263" s="4"/>
      <c r="D263" s="4"/>
      <c r="E263" s="4"/>
      <c r="F263" s="4"/>
      <c r="G263" s="4"/>
      <c r="H263" s="4"/>
      <c r="I263" s="4"/>
      <c r="J263" s="4"/>
      <c r="K263" s="4"/>
      <c r="L263" s="4"/>
      <c r="M263" s="4"/>
      <c r="N263" s="4"/>
      <c r="O263" s="4"/>
      <c r="P263" s="4"/>
      <c r="Q263" s="4"/>
      <c r="R263" s="4"/>
      <c r="S263" s="4"/>
      <c r="T263" s="4"/>
      <c r="U263" s="4"/>
      <c r="V263" s="4"/>
      <c r="W263" s="4"/>
      <c r="X263" s="4"/>
      <c r="Y263" s="4"/>
    </row>
    <row r="264" spans="1:25" ht="33.75" customHeight="1">
      <c r="A264" s="4"/>
      <c r="B264" s="33"/>
      <c r="C264" s="4"/>
      <c r="D264" s="4"/>
      <c r="E264" s="4"/>
      <c r="F264" s="4"/>
      <c r="G264" s="4"/>
      <c r="H264" s="4"/>
      <c r="I264" s="4"/>
      <c r="J264" s="4"/>
      <c r="K264" s="4"/>
      <c r="L264" s="4"/>
      <c r="M264" s="4"/>
      <c r="N264" s="4"/>
      <c r="O264" s="4"/>
      <c r="P264" s="4"/>
      <c r="Q264" s="4"/>
      <c r="R264" s="4"/>
      <c r="S264" s="4"/>
      <c r="T264" s="4"/>
      <c r="U264" s="4"/>
      <c r="V264" s="4"/>
      <c r="W264" s="4"/>
      <c r="X264" s="4"/>
      <c r="Y264" s="4"/>
    </row>
    <row r="265" spans="1:25" ht="33.75" customHeight="1">
      <c r="A265" s="4"/>
      <c r="B265" s="33"/>
      <c r="C265" s="4"/>
      <c r="D265" s="4"/>
      <c r="E265" s="4"/>
      <c r="F265" s="4"/>
      <c r="G265" s="4"/>
      <c r="H265" s="4"/>
      <c r="I265" s="4"/>
      <c r="J265" s="4"/>
      <c r="K265" s="4"/>
      <c r="L265" s="4"/>
      <c r="M265" s="4"/>
      <c r="N265" s="4"/>
      <c r="O265" s="4"/>
      <c r="P265" s="4"/>
      <c r="Q265" s="4"/>
      <c r="R265" s="4"/>
      <c r="S265" s="4"/>
      <c r="T265" s="4"/>
      <c r="U265" s="4"/>
      <c r="V265" s="4"/>
      <c r="W265" s="4"/>
      <c r="X265" s="4"/>
      <c r="Y265" s="4"/>
    </row>
    <row r="266" spans="1:25" ht="33.75" customHeight="1">
      <c r="A266" s="4"/>
      <c r="B266" s="33"/>
      <c r="C266" s="4"/>
      <c r="D266" s="4"/>
      <c r="E266" s="4"/>
      <c r="F266" s="4"/>
      <c r="G266" s="4"/>
      <c r="H266" s="4"/>
      <c r="I266" s="4"/>
      <c r="J266" s="4"/>
      <c r="K266" s="4"/>
      <c r="L266" s="4"/>
      <c r="M266" s="4"/>
      <c r="N266" s="4"/>
      <c r="O266" s="4"/>
      <c r="P266" s="4"/>
      <c r="Q266" s="4"/>
      <c r="R266" s="4"/>
      <c r="S266" s="4"/>
      <c r="T266" s="4"/>
      <c r="U266" s="4"/>
      <c r="V266" s="4"/>
      <c r="W266" s="4"/>
      <c r="X266" s="4"/>
      <c r="Y266" s="4"/>
    </row>
    <row r="267" spans="1:25" ht="33.75" customHeight="1">
      <c r="A267" s="4"/>
      <c r="B267" s="33"/>
      <c r="C267" s="4"/>
      <c r="D267" s="4"/>
      <c r="E267" s="4"/>
      <c r="F267" s="4"/>
      <c r="G267" s="4"/>
      <c r="H267" s="4"/>
      <c r="I267" s="4"/>
      <c r="J267" s="4"/>
      <c r="K267" s="4"/>
      <c r="L267" s="4"/>
      <c r="M267" s="4"/>
      <c r="N267" s="4"/>
      <c r="O267" s="4"/>
      <c r="P267" s="4"/>
      <c r="Q267" s="4"/>
      <c r="R267" s="4"/>
      <c r="S267" s="4"/>
      <c r="T267" s="4"/>
      <c r="U267" s="4"/>
      <c r="V267" s="4"/>
      <c r="W267" s="4"/>
      <c r="X267" s="4"/>
      <c r="Y267" s="4"/>
    </row>
    <row r="268" spans="1:25" ht="33.75" customHeight="1">
      <c r="A268" s="4"/>
      <c r="B268" s="33"/>
      <c r="C268" s="4"/>
      <c r="D268" s="4"/>
      <c r="E268" s="4"/>
      <c r="F268" s="4"/>
      <c r="G268" s="4"/>
      <c r="H268" s="4"/>
      <c r="I268" s="4"/>
      <c r="J268" s="4"/>
      <c r="K268" s="4"/>
      <c r="L268" s="4"/>
      <c r="M268" s="4"/>
      <c r="N268" s="4"/>
      <c r="O268" s="4"/>
      <c r="P268" s="4"/>
      <c r="Q268" s="4"/>
      <c r="R268" s="4"/>
      <c r="S268" s="4"/>
      <c r="T268" s="4"/>
      <c r="U268" s="4"/>
      <c r="V268" s="4"/>
      <c r="W268" s="4"/>
      <c r="X268" s="4"/>
      <c r="Y268" s="4"/>
    </row>
    <row r="269" spans="1:25" ht="33.75" customHeight="1">
      <c r="A269" s="4"/>
      <c r="B269" s="33"/>
      <c r="C269" s="4"/>
      <c r="D269" s="4"/>
      <c r="E269" s="4"/>
      <c r="F269" s="4"/>
      <c r="G269" s="4"/>
      <c r="H269" s="4"/>
      <c r="I269" s="4"/>
      <c r="J269" s="4"/>
      <c r="K269" s="4"/>
      <c r="L269" s="4"/>
      <c r="M269" s="4"/>
      <c r="N269" s="4"/>
      <c r="O269" s="4"/>
      <c r="P269" s="4"/>
      <c r="Q269" s="4"/>
      <c r="R269" s="4"/>
      <c r="S269" s="4"/>
      <c r="T269" s="4"/>
      <c r="U269" s="4"/>
      <c r="V269" s="4"/>
      <c r="W269" s="4"/>
      <c r="X269" s="4"/>
      <c r="Y269" s="4"/>
    </row>
    <row r="270" spans="1:25" ht="33.75" customHeight="1">
      <c r="A270" s="4"/>
      <c r="B270" s="33"/>
      <c r="C270" s="4"/>
      <c r="D270" s="4"/>
      <c r="E270" s="4"/>
      <c r="F270" s="4"/>
      <c r="G270" s="4"/>
      <c r="H270" s="4"/>
      <c r="I270" s="4"/>
      <c r="J270" s="4"/>
      <c r="K270" s="4"/>
      <c r="L270" s="4"/>
      <c r="M270" s="4"/>
      <c r="N270" s="4"/>
      <c r="O270" s="4"/>
      <c r="P270" s="4"/>
      <c r="Q270" s="4"/>
      <c r="R270" s="4"/>
      <c r="S270" s="4"/>
      <c r="T270" s="4"/>
      <c r="U270" s="4"/>
      <c r="V270" s="4"/>
      <c r="W270" s="4"/>
      <c r="X270" s="4"/>
      <c r="Y270" s="4"/>
    </row>
    <row r="271" spans="1:25" ht="33.75" customHeight="1">
      <c r="A271" s="4"/>
      <c r="B271" s="33"/>
      <c r="C271" s="4"/>
      <c r="D271" s="4"/>
      <c r="E271" s="4"/>
      <c r="F271" s="4"/>
      <c r="G271" s="4"/>
      <c r="H271" s="4"/>
      <c r="I271" s="4"/>
      <c r="J271" s="4"/>
      <c r="K271" s="4"/>
      <c r="L271" s="4"/>
      <c r="M271" s="4"/>
      <c r="N271" s="4"/>
      <c r="O271" s="4"/>
      <c r="P271" s="4"/>
      <c r="Q271" s="4"/>
      <c r="R271" s="4"/>
      <c r="S271" s="4"/>
      <c r="T271" s="4"/>
      <c r="U271" s="4"/>
      <c r="V271" s="4"/>
      <c r="W271" s="4"/>
      <c r="X271" s="4"/>
      <c r="Y271" s="4"/>
    </row>
    <row r="272" spans="1:25" ht="33.75" customHeight="1">
      <c r="A272" s="4"/>
      <c r="B272" s="33"/>
      <c r="C272" s="4"/>
      <c r="D272" s="4"/>
      <c r="E272" s="4"/>
      <c r="F272" s="4"/>
      <c r="G272" s="4"/>
      <c r="H272" s="4"/>
      <c r="I272" s="4"/>
      <c r="J272" s="4"/>
      <c r="K272" s="4"/>
      <c r="L272" s="4"/>
      <c r="M272" s="4"/>
      <c r="N272" s="4"/>
      <c r="O272" s="4"/>
      <c r="P272" s="4"/>
      <c r="Q272" s="4"/>
      <c r="R272" s="4"/>
      <c r="S272" s="4"/>
      <c r="T272" s="4"/>
      <c r="U272" s="4"/>
      <c r="V272" s="4"/>
      <c r="W272" s="4"/>
      <c r="X272" s="4"/>
      <c r="Y272" s="4"/>
    </row>
    <row r="273" spans="1:25" ht="33.75" customHeight="1">
      <c r="A273" s="4"/>
      <c r="B273" s="33"/>
      <c r="C273" s="4"/>
      <c r="D273" s="4"/>
      <c r="E273" s="4"/>
      <c r="F273" s="4"/>
      <c r="G273" s="4"/>
      <c r="H273" s="4"/>
      <c r="I273" s="4"/>
      <c r="J273" s="4"/>
      <c r="K273" s="4"/>
      <c r="L273" s="4"/>
      <c r="M273" s="4"/>
      <c r="N273" s="4"/>
      <c r="O273" s="4"/>
      <c r="P273" s="4"/>
      <c r="Q273" s="4"/>
      <c r="R273" s="4"/>
      <c r="S273" s="4"/>
      <c r="T273" s="4"/>
      <c r="U273" s="4"/>
      <c r="V273" s="4"/>
      <c r="W273" s="4"/>
      <c r="X273" s="4"/>
      <c r="Y273" s="4"/>
    </row>
    <row r="274" spans="1:25" ht="33.75" customHeight="1">
      <c r="A274" s="4"/>
      <c r="B274" s="33"/>
      <c r="C274" s="4"/>
      <c r="D274" s="4"/>
      <c r="E274" s="4"/>
      <c r="F274" s="4"/>
      <c r="G274" s="4"/>
      <c r="H274" s="4"/>
      <c r="I274" s="4"/>
      <c r="J274" s="4"/>
      <c r="K274" s="4"/>
      <c r="L274" s="4"/>
      <c r="M274" s="4"/>
      <c r="N274" s="4"/>
      <c r="O274" s="4"/>
      <c r="P274" s="4"/>
      <c r="Q274" s="4"/>
      <c r="R274" s="4"/>
      <c r="S274" s="4"/>
      <c r="T274" s="4"/>
      <c r="U274" s="4"/>
      <c r="V274" s="4"/>
      <c r="W274" s="4"/>
      <c r="X274" s="4"/>
      <c r="Y274" s="4"/>
    </row>
    <row r="275" spans="1:25" ht="33.75" customHeight="1">
      <c r="A275" s="4"/>
      <c r="B275" s="33"/>
      <c r="C275" s="4"/>
      <c r="D275" s="4"/>
      <c r="E275" s="4"/>
      <c r="F275" s="4"/>
      <c r="G275" s="4"/>
      <c r="H275" s="4"/>
      <c r="I275" s="4"/>
      <c r="J275" s="4"/>
      <c r="K275" s="4"/>
      <c r="L275" s="4"/>
      <c r="M275" s="4"/>
      <c r="N275" s="4"/>
      <c r="O275" s="4"/>
      <c r="P275" s="4"/>
      <c r="Q275" s="4"/>
      <c r="R275" s="4"/>
      <c r="S275" s="4"/>
      <c r="T275" s="4"/>
      <c r="U275" s="4"/>
      <c r="V275" s="4"/>
      <c r="W275" s="4"/>
      <c r="X275" s="4"/>
      <c r="Y275" s="4"/>
    </row>
    <row r="276" spans="1:25" ht="33.75" customHeight="1">
      <c r="A276" s="4"/>
      <c r="B276" s="33"/>
      <c r="C276" s="4"/>
      <c r="D276" s="4"/>
      <c r="E276" s="4"/>
      <c r="F276" s="4"/>
      <c r="G276" s="4"/>
      <c r="H276" s="4"/>
      <c r="I276" s="4"/>
      <c r="J276" s="4"/>
      <c r="K276" s="4"/>
      <c r="L276" s="4"/>
      <c r="M276" s="4"/>
      <c r="N276" s="4"/>
      <c r="O276" s="4"/>
      <c r="P276" s="4"/>
      <c r="Q276" s="4"/>
      <c r="R276" s="4"/>
      <c r="S276" s="4"/>
      <c r="T276" s="4"/>
      <c r="U276" s="4"/>
      <c r="V276" s="4"/>
      <c r="W276" s="4"/>
      <c r="X276" s="4"/>
      <c r="Y276" s="4"/>
    </row>
    <row r="277" spans="1:25" ht="33.75" customHeight="1">
      <c r="A277" s="4"/>
      <c r="B277" s="33"/>
      <c r="C277" s="4"/>
      <c r="D277" s="4"/>
      <c r="E277" s="4"/>
      <c r="F277" s="4"/>
      <c r="G277" s="4"/>
      <c r="H277" s="4"/>
      <c r="I277" s="4"/>
      <c r="J277" s="4"/>
      <c r="K277" s="4"/>
      <c r="L277" s="4"/>
      <c r="M277" s="4"/>
      <c r="N277" s="4"/>
      <c r="O277" s="4"/>
      <c r="P277" s="4"/>
      <c r="Q277" s="4"/>
      <c r="R277" s="4"/>
      <c r="S277" s="4"/>
      <c r="T277" s="4"/>
      <c r="U277" s="4"/>
      <c r="V277" s="4"/>
      <c r="W277" s="4"/>
      <c r="X277" s="4"/>
      <c r="Y277" s="4"/>
    </row>
    <row r="278" spans="1:25" ht="33.75" customHeight="1">
      <c r="A278" s="4"/>
      <c r="B278" s="33"/>
      <c r="C278" s="4"/>
      <c r="D278" s="4"/>
      <c r="E278" s="4"/>
      <c r="F278" s="4"/>
      <c r="G278" s="4"/>
      <c r="H278" s="4"/>
      <c r="I278" s="4"/>
      <c r="J278" s="4"/>
      <c r="K278" s="4"/>
      <c r="L278" s="4"/>
      <c r="M278" s="4"/>
      <c r="N278" s="4"/>
      <c r="O278" s="4"/>
      <c r="P278" s="4"/>
      <c r="Q278" s="4"/>
      <c r="R278" s="4"/>
      <c r="S278" s="4"/>
      <c r="T278" s="4"/>
      <c r="U278" s="4"/>
      <c r="V278" s="4"/>
      <c r="W278" s="4"/>
      <c r="X278" s="4"/>
      <c r="Y278" s="4"/>
    </row>
    <row r="279" spans="1:25" ht="33.75" customHeight="1">
      <c r="A279" s="4"/>
      <c r="B279" s="33"/>
      <c r="C279" s="4"/>
      <c r="D279" s="4"/>
      <c r="E279" s="4"/>
      <c r="F279" s="4"/>
      <c r="G279" s="4"/>
      <c r="H279" s="4"/>
      <c r="I279" s="4"/>
      <c r="J279" s="4"/>
      <c r="K279" s="4"/>
      <c r="L279" s="4"/>
      <c r="M279" s="4"/>
      <c r="N279" s="4"/>
      <c r="O279" s="4"/>
      <c r="P279" s="4"/>
      <c r="Q279" s="4"/>
      <c r="R279" s="4"/>
      <c r="S279" s="4"/>
      <c r="T279" s="4"/>
      <c r="U279" s="4"/>
      <c r="V279" s="4"/>
      <c r="W279" s="4"/>
      <c r="X279" s="4"/>
      <c r="Y279" s="4"/>
    </row>
    <row r="280" spans="1:25" ht="33.75" customHeight="1">
      <c r="A280" s="4"/>
      <c r="B280" s="33"/>
      <c r="C280" s="4"/>
      <c r="D280" s="4"/>
      <c r="E280" s="4"/>
      <c r="F280" s="4"/>
      <c r="G280" s="4"/>
      <c r="H280" s="4"/>
      <c r="I280" s="4"/>
      <c r="J280" s="4"/>
      <c r="K280" s="4"/>
      <c r="L280" s="4"/>
      <c r="M280" s="4"/>
      <c r="N280" s="4"/>
      <c r="O280" s="4"/>
      <c r="P280" s="4"/>
      <c r="Q280" s="4"/>
      <c r="R280" s="4"/>
      <c r="S280" s="4"/>
      <c r="T280" s="4"/>
      <c r="U280" s="4"/>
      <c r="V280" s="4"/>
      <c r="W280" s="4"/>
      <c r="X280" s="4"/>
      <c r="Y280" s="4"/>
    </row>
    <row r="281" spans="1:25" ht="33.75" customHeight="1">
      <c r="A281" s="4"/>
      <c r="B281" s="33"/>
      <c r="C281" s="4"/>
      <c r="D281" s="4"/>
      <c r="E281" s="4"/>
      <c r="F281" s="4"/>
      <c r="G281" s="4"/>
      <c r="H281" s="4"/>
      <c r="I281" s="4"/>
      <c r="J281" s="4"/>
      <c r="K281" s="4"/>
      <c r="L281" s="4"/>
      <c r="M281" s="4"/>
      <c r="N281" s="4"/>
      <c r="O281" s="4"/>
      <c r="P281" s="4"/>
      <c r="Q281" s="4"/>
      <c r="R281" s="4"/>
      <c r="S281" s="4"/>
      <c r="T281" s="4"/>
      <c r="U281" s="4"/>
      <c r="V281" s="4"/>
      <c r="W281" s="4"/>
      <c r="X281" s="4"/>
      <c r="Y281" s="4"/>
    </row>
    <row r="282" spans="1:25" ht="33.75" customHeight="1">
      <c r="A282" s="4"/>
      <c r="B282" s="33"/>
      <c r="C282" s="4"/>
      <c r="D282" s="4"/>
      <c r="E282" s="4"/>
      <c r="F282" s="4"/>
      <c r="G282" s="4"/>
      <c r="H282" s="4"/>
      <c r="I282" s="4"/>
      <c r="J282" s="4"/>
      <c r="K282" s="4"/>
      <c r="L282" s="4"/>
      <c r="M282" s="4"/>
      <c r="N282" s="4"/>
      <c r="O282" s="4"/>
      <c r="P282" s="4"/>
      <c r="Q282" s="4"/>
      <c r="R282" s="4"/>
      <c r="S282" s="4"/>
      <c r="T282" s="4"/>
      <c r="U282" s="4"/>
      <c r="V282" s="4"/>
      <c r="W282" s="4"/>
      <c r="X282" s="4"/>
      <c r="Y282" s="4"/>
    </row>
    <row r="283" spans="1:25" ht="33.75" customHeight="1">
      <c r="A283" s="4"/>
      <c r="B283" s="33"/>
      <c r="C283" s="4"/>
      <c r="D283" s="4"/>
      <c r="E283" s="4"/>
      <c r="F283" s="4"/>
      <c r="G283" s="4"/>
      <c r="H283" s="4"/>
      <c r="I283" s="4"/>
      <c r="J283" s="4"/>
      <c r="K283" s="4"/>
      <c r="L283" s="4"/>
      <c r="M283" s="4"/>
      <c r="N283" s="4"/>
      <c r="O283" s="4"/>
      <c r="P283" s="4"/>
      <c r="Q283" s="4"/>
      <c r="R283" s="4"/>
      <c r="S283" s="4"/>
      <c r="T283" s="4"/>
      <c r="U283" s="4"/>
      <c r="V283" s="4"/>
      <c r="W283" s="4"/>
      <c r="X283" s="4"/>
      <c r="Y283" s="4"/>
    </row>
    <row r="284" spans="1:25" ht="33.75" customHeight="1">
      <c r="A284" s="4"/>
      <c r="B284" s="33"/>
      <c r="C284" s="4"/>
      <c r="D284" s="4"/>
      <c r="E284" s="4"/>
      <c r="F284" s="4"/>
      <c r="G284" s="4"/>
      <c r="H284" s="4"/>
      <c r="I284" s="4"/>
      <c r="J284" s="4"/>
      <c r="K284" s="4"/>
      <c r="L284" s="4"/>
      <c r="M284" s="4"/>
      <c r="N284" s="4"/>
      <c r="O284" s="4"/>
      <c r="P284" s="4"/>
      <c r="Q284" s="4"/>
      <c r="R284" s="4"/>
      <c r="S284" s="4"/>
      <c r="T284" s="4"/>
      <c r="U284" s="4"/>
      <c r="V284" s="4"/>
      <c r="W284" s="4"/>
      <c r="X284" s="4"/>
      <c r="Y284" s="4"/>
    </row>
    <row r="285" spans="1:25" ht="33.75" customHeight="1">
      <c r="A285" s="4"/>
      <c r="B285" s="33"/>
      <c r="C285" s="4"/>
      <c r="D285" s="4"/>
      <c r="E285" s="4"/>
      <c r="F285" s="4"/>
      <c r="G285" s="4"/>
      <c r="H285" s="4"/>
      <c r="I285" s="4"/>
      <c r="J285" s="4"/>
      <c r="K285" s="4"/>
      <c r="L285" s="4"/>
      <c r="M285" s="4"/>
      <c r="N285" s="4"/>
      <c r="O285" s="4"/>
      <c r="P285" s="4"/>
      <c r="Q285" s="4"/>
      <c r="R285" s="4"/>
      <c r="S285" s="4"/>
      <c r="T285" s="4"/>
      <c r="U285" s="4"/>
      <c r="V285" s="4"/>
      <c r="W285" s="4"/>
      <c r="X285" s="4"/>
      <c r="Y285" s="4"/>
    </row>
    <row r="286" spans="1:25" ht="33.75" customHeight="1">
      <c r="A286" s="4"/>
      <c r="B286" s="33"/>
      <c r="C286" s="4"/>
      <c r="D286" s="4"/>
      <c r="E286" s="4"/>
      <c r="F286" s="4"/>
      <c r="G286" s="4"/>
      <c r="H286" s="4"/>
      <c r="I286" s="4"/>
      <c r="J286" s="4"/>
      <c r="K286" s="4"/>
      <c r="L286" s="4"/>
      <c r="M286" s="4"/>
      <c r="N286" s="4"/>
      <c r="O286" s="4"/>
      <c r="P286" s="4"/>
      <c r="Q286" s="4"/>
      <c r="R286" s="4"/>
      <c r="S286" s="4"/>
      <c r="T286" s="4"/>
      <c r="U286" s="4"/>
      <c r="V286" s="4"/>
      <c r="W286" s="4"/>
      <c r="X286" s="4"/>
      <c r="Y286" s="4"/>
    </row>
    <row r="287" spans="1:25" ht="33.75" customHeight="1">
      <c r="A287" s="4"/>
      <c r="B287" s="33"/>
      <c r="C287" s="4"/>
      <c r="D287" s="4"/>
      <c r="E287" s="4"/>
      <c r="F287" s="4"/>
      <c r="G287" s="4"/>
      <c r="H287" s="4"/>
      <c r="I287" s="4"/>
      <c r="J287" s="4"/>
      <c r="K287" s="4"/>
      <c r="L287" s="4"/>
      <c r="M287" s="4"/>
      <c r="N287" s="4"/>
      <c r="O287" s="4"/>
      <c r="P287" s="4"/>
      <c r="Q287" s="4"/>
      <c r="R287" s="4"/>
      <c r="S287" s="4"/>
      <c r="T287" s="4"/>
      <c r="U287" s="4"/>
      <c r="V287" s="4"/>
      <c r="W287" s="4"/>
      <c r="X287" s="4"/>
      <c r="Y287" s="4"/>
    </row>
    <row r="288" spans="1:25" ht="33.75" customHeight="1">
      <c r="A288" s="4"/>
      <c r="B288" s="33"/>
      <c r="C288" s="4"/>
      <c r="D288" s="4"/>
      <c r="E288" s="4"/>
      <c r="F288" s="4"/>
      <c r="G288" s="4"/>
      <c r="H288" s="4"/>
      <c r="I288" s="4"/>
      <c r="J288" s="4"/>
      <c r="K288" s="4"/>
      <c r="L288" s="4"/>
      <c r="M288" s="4"/>
      <c r="N288" s="4"/>
      <c r="O288" s="4"/>
      <c r="P288" s="4"/>
      <c r="Q288" s="4"/>
      <c r="R288" s="4"/>
      <c r="S288" s="4"/>
      <c r="T288" s="4"/>
      <c r="U288" s="4"/>
      <c r="V288" s="4"/>
      <c r="W288" s="4"/>
      <c r="X288" s="4"/>
      <c r="Y288" s="4"/>
    </row>
    <row r="289" spans="1:25" ht="33.75" customHeight="1">
      <c r="A289" s="4"/>
      <c r="B289" s="33"/>
      <c r="C289" s="4"/>
      <c r="D289" s="4"/>
      <c r="E289" s="4"/>
      <c r="F289" s="4"/>
      <c r="G289" s="4"/>
      <c r="H289" s="4"/>
      <c r="I289" s="4"/>
      <c r="J289" s="4"/>
      <c r="K289" s="4"/>
      <c r="L289" s="4"/>
      <c r="M289" s="4"/>
      <c r="N289" s="4"/>
      <c r="O289" s="4"/>
      <c r="P289" s="4"/>
      <c r="Q289" s="4"/>
      <c r="R289" s="4"/>
      <c r="S289" s="4"/>
      <c r="T289" s="4"/>
      <c r="U289" s="4"/>
      <c r="V289" s="4"/>
      <c r="W289" s="4"/>
      <c r="X289" s="4"/>
      <c r="Y289" s="4"/>
    </row>
    <row r="290" spans="1:25" ht="33.75" customHeight="1">
      <c r="A290" s="4"/>
      <c r="B290" s="33"/>
      <c r="C290" s="4"/>
      <c r="D290" s="4"/>
      <c r="E290" s="4"/>
      <c r="F290" s="4"/>
      <c r="G290" s="4"/>
      <c r="H290" s="4"/>
      <c r="I290" s="4"/>
      <c r="J290" s="4"/>
      <c r="K290" s="4"/>
      <c r="L290" s="4"/>
      <c r="M290" s="4"/>
      <c r="N290" s="4"/>
      <c r="O290" s="4"/>
      <c r="P290" s="4"/>
      <c r="Q290" s="4"/>
      <c r="R290" s="4"/>
      <c r="S290" s="4"/>
      <c r="T290" s="4"/>
      <c r="U290" s="4"/>
      <c r="V290" s="4"/>
      <c r="W290" s="4"/>
      <c r="X290" s="4"/>
      <c r="Y290" s="4"/>
    </row>
    <row r="291" spans="1:25" ht="33.75" customHeight="1">
      <c r="A291" s="4"/>
      <c r="B291" s="33"/>
      <c r="C291" s="4"/>
      <c r="D291" s="4"/>
      <c r="E291" s="4"/>
      <c r="F291" s="4"/>
      <c r="G291" s="4"/>
      <c r="H291" s="4"/>
      <c r="I291" s="4"/>
      <c r="J291" s="4"/>
      <c r="K291" s="4"/>
      <c r="L291" s="4"/>
      <c r="M291" s="4"/>
      <c r="N291" s="4"/>
      <c r="O291" s="4"/>
      <c r="P291" s="4"/>
      <c r="Q291" s="4"/>
      <c r="R291" s="4"/>
      <c r="S291" s="4"/>
      <c r="T291" s="4"/>
      <c r="U291" s="4"/>
      <c r="V291" s="4"/>
      <c r="W291" s="4"/>
      <c r="X291" s="4"/>
      <c r="Y291" s="4"/>
    </row>
    <row r="292" spans="1:25" ht="33.75" customHeight="1">
      <c r="A292" s="4"/>
      <c r="B292" s="33"/>
      <c r="C292" s="4"/>
      <c r="D292" s="4"/>
      <c r="E292" s="4"/>
      <c r="F292" s="4"/>
      <c r="G292" s="4"/>
      <c r="H292" s="4"/>
      <c r="I292" s="4"/>
      <c r="J292" s="4"/>
      <c r="K292" s="4"/>
      <c r="L292" s="4"/>
      <c r="M292" s="4"/>
      <c r="N292" s="4"/>
      <c r="O292" s="4"/>
      <c r="P292" s="4"/>
      <c r="Q292" s="4"/>
      <c r="R292" s="4"/>
      <c r="S292" s="4"/>
      <c r="T292" s="4"/>
      <c r="U292" s="4"/>
      <c r="V292" s="4"/>
      <c r="W292" s="4"/>
      <c r="X292" s="4"/>
      <c r="Y292" s="4"/>
    </row>
    <row r="293" spans="1:25" ht="33.75" customHeight="1">
      <c r="A293" s="4"/>
      <c r="B293" s="33"/>
      <c r="C293" s="4"/>
      <c r="D293" s="4"/>
      <c r="E293" s="4"/>
      <c r="F293" s="4"/>
      <c r="G293" s="4"/>
      <c r="H293" s="4"/>
      <c r="I293" s="4"/>
      <c r="J293" s="4"/>
      <c r="K293" s="4"/>
      <c r="L293" s="4"/>
      <c r="M293" s="4"/>
      <c r="N293" s="4"/>
      <c r="O293" s="4"/>
      <c r="P293" s="4"/>
      <c r="Q293" s="4"/>
      <c r="R293" s="4"/>
      <c r="S293" s="4"/>
      <c r="T293" s="4"/>
      <c r="U293" s="4"/>
      <c r="V293" s="4"/>
      <c r="W293" s="4"/>
      <c r="X293" s="4"/>
      <c r="Y293" s="4"/>
    </row>
    <row r="294" spans="1:25" ht="33.75" customHeight="1">
      <c r="A294" s="4"/>
      <c r="B294" s="33"/>
      <c r="C294" s="4"/>
      <c r="D294" s="4"/>
      <c r="E294" s="4"/>
      <c r="F294" s="4"/>
      <c r="G294" s="4"/>
      <c r="H294" s="4"/>
      <c r="I294" s="4"/>
      <c r="J294" s="4"/>
      <c r="K294" s="4"/>
      <c r="L294" s="4"/>
      <c r="M294" s="4"/>
      <c r="N294" s="4"/>
      <c r="O294" s="4"/>
      <c r="P294" s="4"/>
      <c r="Q294" s="4"/>
      <c r="R294" s="4"/>
      <c r="S294" s="4"/>
      <c r="T294" s="4"/>
      <c r="U294" s="4"/>
      <c r="V294" s="4"/>
      <c r="W294" s="4"/>
      <c r="X294" s="4"/>
      <c r="Y294" s="4"/>
    </row>
    <row r="295" spans="1:25" ht="33.75" customHeight="1">
      <c r="A295" s="4"/>
      <c r="B295" s="33"/>
      <c r="C295" s="4"/>
      <c r="D295" s="4"/>
      <c r="E295" s="4"/>
      <c r="F295" s="4"/>
      <c r="G295" s="4"/>
      <c r="H295" s="4"/>
      <c r="I295" s="4"/>
      <c r="J295" s="4"/>
      <c r="K295" s="4"/>
      <c r="L295" s="4"/>
      <c r="M295" s="4"/>
      <c r="N295" s="4"/>
      <c r="O295" s="4"/>
      <c r="P295" s="4"/>
      <c r="Q295" s="4"/>
      <c r="R295" s="4"/>
      <c r="S295" s="4"/>
      <c r="T295" s="4"/>
      <c r="U295" s="4"/>
      <c r="V295" s="4"/>
      <c r="W295" s="4"/>
      <c r="X295" s="4"/>
      <c r="Y295" s="4"/>
    </row>
    <row r="296" spans="1:25" ht="33.75" customHeight="1">
      <c r="A296" s="4"/>
      <c r="B296" s="33"/>
      <c r="C296" s="4"/>
      <c r="D296" s="4"/>
      <c r="E296" s="4"/>
      <c r="F296" s="4"/>
      <c r="G296" s="4"/>
      <c r="H296" s="4"/>
      <c r="I296" s="4"/>
      <c r="J296" s="4"/>
      <c r="K296" s="4"/>
      <c r="L296" s="4"/>
      <c r="M296" s="4"/>
      <c r="N296" s="4"/>
      <c r="O296" s="4"/>
      <c r="P296" s="4"/>
      <c r="Q296" s="4"/>
      <c r="R296" s="4"/>
      <c r="S296" s="4"/>
      <c r="T296" s="4"/>
      <c r="U296" s="4"/>
      <c r="V296" s="4"/>
      <c r="W296" s="4"/>
      <c r="X296" s="4"/>
      <c r="Y296" s="4"/>
    </row>
    <row r="297" spans="1:25" ht="33.75" customHeight="1">
      <c r="A297" s="4"/>
      <c r="B297" s="33"/>
      <c r="C297" s="4"/>
      <c r="D297" s="4"/>
      <c r="E297" s="4"/>
      <c r="F297" s="4"/>
      <c r="G297" s="4"/>
      <c r="H297" s="4"/>
      <c r="I297" s="4"/>
      <c r="J297" s="4"/>
      <c r="K297" s="4"/>
      <c r="L297" s="4"/>
      <c r="M297" s="4"/>
      <c r="N297" s="4"/>
      <c r="O297" s="4"/>
      <c r="P297" s="4"/>
      <c r="Q297" s="4"/>
      <c r="R297" s="4"/>
      <c r="S297" s="4"/>
      <c r="T297" s="4"/>
      <c r="U297" s="4"/>
      <c r="V297" s="4"/>
      <c r="W297" s="4"/>
      <c r="X297" s="4"/>
      <c r="Y297" s="4"/>
    </row>
    <row r="298" spans="1:25" ht="33.75" customHeight="1">
      <c r="A298" s="4"/>
      <c r="B298" s="33"/>
      <c r="C298" s="4"/>
      <c r="D298" s="4"/>
      <c r="E298" s="4"/>
      <c r="F298" s="4"/>
      <c r="G298" s="4"/>
      <c r="H298" s="4"/>
      <c r="I298" s="4"/>
      <c r="J298" s="4"/>
      <c r="K298" s="4"/>
      <c r="L298" s="4"/>
      <c r="M298" s="4"/>
      <c r="N298" s="4"/>
      <c r="O298" s="4"/>
      <c r="P298" s="4"/>
      <c r="Q298" s="4"/>
      <c r="R298" s="4"/>
      <c r="S298" s="4"/>
      <c r="T298" s="4"/>
      <c r="U298" s="4"/>
      <c r="V298" s="4"/>
      <c r="W298" s="4"/>
      <c r="X298" s="4"/>
      <c r="Y298" s="4"/>
    </row>
    <row r="299" spans="1:25" ht="33.75" customHeight="1">
      <c r="A299" s="4"/>
      <c r="B299" s="33"/>
      <c r="C299" s="4"/>
      <c r="D299" s="4"/>
      <c r="E299" s="4"/>
      <c r="F299" s="4"/>
      <c r="G299" s="4"/>
      <c r="H299" s="4"/>
      <c r="I299" s="4"/>
      <c r="J299" s="4"/>
      <c r="K299" s="4"/>
      <c r="L299" s="4"/>
      <c r="M299" s="4"/>
      <c r="N299" s="4"/>
      <c r="O299" s="4"/>
      <c r="P299" s="4"/>
      <c r="Q299" s="4"/>
      <c r="R299" s="4"/>
      <c r="S299" s="4"/>
      <c r="T299" s="4"/>
      <c r="U299" s="4"/>
      <c r="V299" s="4"/>
      <c r="W299" s="4"/>
      <c r="X299" s="4"/>
      <c r="Y299" s="4"/>
    </row>
    <row r="300" spans="1:25" ht="33.75" customHeight="1">
      <c r="A300" s="4"/>
      <c r="B300" s="33"/>
      <c r="C300" s="4"/>
      <c r="D300" s="4"/>
      <c r="E300" s="4"/>
      <c r="F300" s="4"/>
      <c r="G300" s="4"/>
      <c r="H300" s="4"/>
      <c r="I300" s="4"/>
      <c r="J300" s="4"/>
      <c r="K300" s="4"/>
      <c r="L300" s="4"/>
      <c r="M300" s="4"/>
      <c r="N300" s="4"/>
      <c r="O300" s="4"/>
      <c r="P300" s="4"/>
      <c r="Q300" s="4"/>
      <c r="R300" s="4"/>
      <c r="S300" s="4"/>
      <c r="T300" s="4"/>
      <c r="U300" s="4"/>
      <c r="V300" s="4"/>
      <c r="W300" s="4"/>
      <c r="X300" s="4"/>
      <c r="Y300" s="4"/>
    </row>
    <row r="301" spans="1:25" ht="33.75" customHeight="1">
      <c r="A301" s="4"/>
      <c r="B301" s="33"/>
      <c r="C301" s="4"/>
      <c r="D301" s="4"/>
      <c r="E301" s="4"/>
      <c r="F301" s="4"/>
      <c r="G301" s="4"/>
      <c r="H301" s="4"/>
      <c r="I301" s="4"/>
      <c r="J301" s="4"/>
      <c r="K301" s="4"/>
      <c r="L301" s="4"/>
      <c r="M301" s="4"/>
      <c r="N301" s="4"/>
      <c r="O301" s="4"/>
      <c r="P301" s="4"/>
      <c r="Q301" s="4"/>
      <c r="R301" s="4"/>
      <c r="S301" s="4"/>
      <c r="T301" s="4"/>
      <c r="U301" s="4"/>
      <c r="V301" s="4"/>
      <c r="W301" s="4"/>
      <c r="X301" s="4"/>
      <c r="Y301" s="4"/>
    </row>
    <row r="302" spans="1:25" ht="33.75" customHeight="1">
      <c r="A302" s="4"/>
      <c r="B302" s="33"/>
      <c r="C302" s="4"/>
      <c r="D302" s="4"/>
      <c r="E302" s="4"/>
      <c r="F302" s="4"/>
      <c r="G302" s="4"/>
      <c r="H302" s="4"/>
      <c r="I302" s="4"/>
      <c r="J302" s="4"/>
      <c r="K302" s="4"/>
      <c r="L302" s="4"/>
      <c r="M302" s="4"/>
      <c r="N302" s="4"/>
      <c r="O302" s="4"/>
      <c r="P302" s="4"/>
      <c r="Q302" s="4"/>
      <c r="R302" s="4"/>
      <c r="S302" s="4"/>
      <c r="T302" s="4"/>
      <c r="U302" s="4"/>
      <c r="V302" s="4"/>
      <c r="W302" s="4"/>
      <c r="X302" s="4"/>
      <c r="Y302" s="4"/>
    </row>
    <row r="303" spans="1:25" ht="33.75" customHeight="1">
      <c r="A303" s="4"/>
      <c r="B303" s="33"/>
      <c r="C303" s="4"/>
      <c r="D303" s="4"/>
      <c r="E303" s="4"/>
      <c r="F303" s="4"/>
      <c r="G303" s="4"/>
      <c r="H303" s="4"/>
      <c r="I303" s="4"/>
      <c r="J303" s="4"/>
      <c r="K303" s="4"/>
      <c r="L303" s="4"/>
      <c r="M303" s="4"/>
      <c r="N303" s="4"/>
      <c r="O303" s="4"/>
      <c r="P303" s="4"/>
      <c r="Q303" s="4"/>
      <c r="R303" s="4"/>
      <c r="S303" s="4"/>
      <c r="T303" s="4"/>
      <c r="U303" s="4"/>
      <c r="V303" s="4"/>
      <c r="W303" s="4"/>
      <c r="X303" s="4"/>
      <c r="Y303" s="4"/>
    </row>
    <row r="304" spans="1:25" ht="33.75" customHeight="1">
      <c r="A304" s="4"/>
      <c r="B304" s="33"/>
      <c r="C304" s="4"/>
      <c r="D304" s="4"/>
      <c r="E304" s="4"/>
      <c r="F304" s="4"/>
      <c r="G304" s="4"/>
      <c r="H304" s="4"/>
      <c r="I304" s="4"/>
      <c r="J304" s="4"/>
      <c r="K304" s="4"/>
      <c r="L304" s="4"/>
      <c r="M304" s="4"/>
      <c r="N304" s="4"/>
      <c r="O304" s="4"/>
      <c r="P304" s="4"/>
      <c r="Q304" s="4"/>
      <c r="R304" s="4"/>
      <c r="S304" s="4"/>
      <c r="T304" s="4"/>
      <c r="U304" s="4"/>
      <c r="V304" s="4"/>
      <c r="W304" s="4"/>
      <c r="X304" s="4"/>
      <c r="Y304" s="4"/>
    </row>
    <row r="305" spans="1:25" ht="33.75" customHeight="1">
      <c r="A305" s="4"/>
      <c r="B305" s="33"/>
      <c r="C305" s="4"/>
      <c r="D305" s="4"/>
      <c r="E305" s="4"/>
      <c r="F305" s="4"/>
      <c r="G305" s="4"/>
      <c r="H305" s="4"/>
      <c r="I305" s="4"/>
      <c r="J305" s="4"/>
      <c r="K305" s="4"/>
      <c r="L305" s="4"/>
      <c r="M305" s="4"/>
      <c r="N305" s="4"/>
      <c r="O305" s="4"/>
      <c r="P305" s="4"/>
      <c r="Q305" s="4"/>
      <c r="R305" s="4"/>
      <c r="S305" s="4"/>
      <c r="T305" s="4"/>
      <c r="U305" s="4"/>
      <c r="V305" s="4"/>
      <c r="W305" s="4"/>
      <c r="X305" s="4"/>
      <c r="Y305" s="4"/>
    </row>
    <row r="306" spans="1:25" ht="33.75" customHeight="1">
      <c r="A306" s="4"/>
      <c r="B306" s="33"/>
      <c r="C306" s="4"/>
      <c r="D306" s="4"/>
      <c r="E306" s="4"/>
      <c r="F306" s="4"/>
      <c r="G306" s="4"/>
      <c r="H306" s="4"/>
      <c r="I306" s="4"/>
      <c r="J306" s="4"/>
      <c r="K306" s="4"/>
      <c r="L306" s="4"/>
      <c r="M306" s="4"/>
      <c r="N306" s="4"/>
      <c r="O306" s="4"/>
      <c r="P306" s="4"/>
      <c r="Q306" s="4"/>
      <c r="R306" s="4"/>
      <c r="S306" s="4"/>
      <c r="T306" s="4"/>
      <c r="U306" s="4"/>
      <c r="V306" s="4"/>
      <c r="W306" s="4"/>
      <c r="X306" s="4"/>
      <c r="Y306" s="4"/>
    </row>
    <row r="307" spans="1:25" ht="33.75" customHeight="1">
      <c r="A307" s="4"/>
      <c r="B307" s="33"/>
      <c r="C307" s="4"/>
      <c r="D307" s="4"/>
      <c r="E307" s="4"/>
      <c r="F307" s="4"/>
      <c r="G307" s="4"/>
      <c r="H307" s="4"/>
      <c r="I307" s="4"/>
      <c r="J307" s="4"/>
      <c r="K307" s="4"/>
      <c r="L307" s="4"/>
      <c r="M307" s="4"/>
      <c r="N307" s="4"/>
      <c r="O307" s="4"/>
      <c r="P307" s="4"/>
      <c r="Q307" s="4"/>
      <c r="R307" s="4"/>
      <c r="S307" s="4"/>
      <c r="T307" s="4"/>
      <c r="U307" s="4"/>
      <c r="V307" s="4"/>
      <c r="W307" s="4"/>
      <c r="X307" s="4"/>
      <c r="Y307" s="4"/>
    </row>
    <row r="308" spans="1:25" ht="33.75" customHeight="1">
      <c r="A308" s="4"/>
      <c r="B308" s="33"/>
      <c r="C308" s="4"/>
      <c r="D308" s="4"/>
      <c r="E308" s="4"/>
      <c r="F308" s="4"/>
      <c r="G308" s="4"/>
      <c r="H308" s="4"/>
      <c r="I308" s="4"/>
      <c r="J308" s="4"/>
      <c r="K308" s="4"/>
      <c r="L308" s="4"/>
      <c r="M308" s="4"/>
      <c r="N308" s="4"/>
      <c r="O308" s="4"/>
      <c r="P308" s="4"/>
      <c r="Q308" s="4"/>
      <c r="R308" s="4"/>
      <c r="S308" s="4"/>
      <c r="T308" s="4"/>
      <c r="U308" s="4"/>
      <c r="V308" s="4"/>
      <c r="W308" s="4"/>
      <c r="X308" s="4"/>
      <c r="Y308" s="4"/>
    </row>
    <row r="309" spans="1:25" ht="33.75" customHeight="1">
      <c r="A309" s="4"/>
      <c r="B309" s="33"/>
      <c r="C309" s="4"/>
      <c r="D309" s="4"/>
      <c r="E309" s="4"/>
      <c r="F309" s="4"/>
      <c r="G309" s="4"/>
      <c r="H309" s="4"/>
      <c r="I309" s="4"/>
      <c r="J309" s="4"/>
      <c r="K309" s="4"/>
      <c r="L309" s="4"/>
      <c r="M309" s="4"/>
      <c r="N309" s="4"/>
      <c r="O309" s="4"/>
      <c r="P309" s="4"/>
      <c r="Q309" s="4"/>
      <c r="R309" s="4"/>
      <c r="S309" s="4"/>
      <c r="T309" s="4"/>
      <c r="U309" s="4"/>
      <c r="V309" s="4"/>
      <c r="W309" s="4"/>
      <c r="X309" s="4"/>
      <c r="Y309" s="4"/>
    </row>
    <row r="310" spans="1:25" ht="33.75" customHeight="1">
      <c r="A310" s="4"/>
      <c r="B310" s="33"/>
      <c r="C310" s="4"/>
      <c r="D310" s="4"/>
      <c r="E310" s="4"/>
      <c r="F310" s="4"/>
      <c r="G310" s="4"/>
      <c r="H310" s="4"/>
      <c r="I310" s="4"/>
      <c r="J310" s="4"/>
      <c r="K310" s="4"/>
      <c r="L310" s="4"/>
      <c r="M310" s="4"/>
      <c r="N310" s="4"/>
      <c r="O310" s="4"/>
      <c r="P310" s="4"/>
      <c r="Q310" s="4"/>
      <c r="R310" s="4"/>
      <c r="S310" s="4"/>
      <c r="T310" s="4"/>
      <c r="U310" s="4"/>
      <c r="V310" s="4"/>
      <c r="W310" s="4"/>
      <c r="X310" s="4"/>
      <c r="Y310" s="4"/>
    </row>
    <row r="311" spans="1:25" ht="33.75" customHeight="1">
      <c r="A311" s="4"/>
      <c r="B311" s="33"/>
      <c r="C311" s="4"/>
      <c r="D311" s="4"/>
      <c r="E311" s="4"/>
      <c r="F311" s="4"/>
      <c r="G311" s="4"/>
      <c r="H311" s="4"/>
      <c r="I311" s="4"/>
      <c r="J311" s="4"/>
      <c r="K311" s="4"/>
      <c r="L311" s="4"/>
      <c r="M311" s="4"/>
      <c r="N311" s="4"/>
      <c r="O311" s="4"/>
      <c r="P311" s="4"/>
      <c r="Q311" s="4"/>
      <c r="R311" s="4"/>
      <c r="S311" s="4"/>
      <c r="T311" s="4"/>
      <c r="U311" s="4"/>
      <c r="V311" s="4"/>
      <c r="W311" s="4"/>
      <c r="X311" s="4"/>
      <c r="Y311" s="4"/>
    </row>
    <row r="312" spans="1:25" ht="33.75" customHeight="1">
      <c r="A312" s="4"/>
      <c r="B312" s="33"/>
      <c r="C312" s="4"/>
      <c r="D312" s="4"/>
      <c r="E312" s="4"/>
      <c r="F312" s="4"/>
      <c r="G312" s="4"/>
      <c r="H312" s="4"/>
      <c r="I312" s="4"/>
      <c r="J312" s="4"/>
      <c r="K312" s="4"/>
      <c r="L312" s="4"/>
      <c r="M312" s="4"/>
      <c r="N312" s="4"/>
      <c r="O312" s="4"/>
      <c r="P312" s="4"/>
      <c r="Q312" s="4"/>
      <c r="R312" s="4"/>
      <c r="S312" s="4"/>
      <c r="T312" s="4"/>
      <c r="U312" s="4"/>
      <c r="V312" s="4"/>
      <c r="W312" s="4"/>
      <c r="X312" s="4"/>
      <c r="Y312" s="4"/>
    </row>
    <row r="313" spans="1:25" ht="33.75" customHeight="1">
      <c r="A313" s="4"/>
      <c r="B313" s="33"/>
      <c r="C313" s="4"/>
      <c r="D313" s="4"/>
      <c r="E313" s="4"/>
      <c r="F313" s="4"/>
      <c r="G313" s="4"/>
      <c r="H313" s="4"/>
      <c r="I313" s="4"/>
      <c r="J313" s="4"/>
      <c r="K313" s="4"/>
      <c r="L313" s="4"/>
      <c r="M313" s="4"/>
      <c r="N313" s="4"/>
      <c r="O313" s="4"/>
      <c r="P313" s="4"/>
      <c r="Q313" s="4"/>
      <c r="R313" s="4"/>
      <c r="S313" s="4"/>
      <c r="T313" s="4"/>
      <c r="U313" s="4"/>
      <c r="V313" s="4"/>
      <c r="W313" s="4"/>
      <c r="X313" s="4"/>
      <c r="Y313" s="4"/>
    </row>
    <row r="314" spans="1:25" ht="33.75" customHeight="1">
      <c r="A314" s="4"/>
      <c r="B314" s="33"/>
      <c r="C314" s="4"/>
      <c r="D314" s="4"/>
      <c r="E314" s="4"/>
      <c r="F314" s="4"/>
      <c r="G314" s="4"/>
      <c r="H314" s="4"/>
      <c r="I314" s="4"/>
      <c r="J314" s="4"/>
      <c r="K314" s="4"/>
      <c r="L314" s="4"/>
      <c r="M314" s="4"/>
      <c r="N314" s="4"/>
      <c r="O314" s="4"/>
      <c r="P314" s="4"/>
      <c r="Q314" s="4"/>
      <c r="R314" s="4"/>
      <c r="S314" s="4"/>
      <c r="T314" s="4"/>
      <c r="U314" s="4"/>
      <c r="V314" s="4"/>
      <c r="W314" s="4"/>
      <c r="X314" s="4"/>
      <c r="Y314" s="4"/>
    </row>
    <row r="315" spans="1:25" ht="33.75" customHeight="1">
      <c r="A315" s="4"/>
      <c r="B315" s="33"/>
      <c r="C315" s="4"/>
      <c r="D315" s="4"/>
      <c r="E315" s="4"/>
      <c r="F315" s="4"/>
      <c r="G315" s="4"/>
      <c r="H315" s="4"/>
      <c r="I315" s="4"/>
      <c r="J315" s="4"/>
      <c r="K315" s="4"/>
      <c r="L315" s="4"/>
      <c r="M315" s="4"/>
      <c r="N315" s="4"/>
      <c r="O315" s="4"/>
      <c r="P315" s="4"/>
      <c r="Q315" s="4"/>
      <c r="R315" s="4"/>
      <c r="S315" s="4"/>
      <c r="T315" s="4"/>
      <c r="U315" s="4"/>
      <c r="V315" s="4"/>
      <c r="W315" s="4"/>
      <c r="X315" s="4"/>
      <c r="Y315" s="4"/>
    </row>
    <row r="316" spans="1:25" ht="33.75" customHeight="1">
      <c r="A316" s="4"/>
      <c r="B316" s="33"/>
      <c r="C316" s="4"/>
      <c r="D316" s="4"/>
      <c r="E316" s="4"/>
      <c r="F316" s="4"/>
      <c r="G316" s="4"/>
      <c r="H316" s="4"/>
      <c r="I316" s="4"/>
      <c r="J316" s="4"/>
      <c r="K316" s="4"/>
      <c r="L316" s="4"/>
      <c r="M316" s="4"/>
      <c r="N316" s="4"/>
      <c r="O316" s="4"/>
      <c r="P316" s="4"/>
      <c r="Q316" s="4"/>
      <c r="R316" s="4"/>
      <c r="S316" s="4"/>
      <c r="T316" s="4"/>
      <c r="U316" s="4"/>
      <c r="V316" s="4"/>
      <c r="W316" s="4"/>
      <c r="X316" s="4"/>
      <c r="Y316" s="4"/>
    </row>
    <row r="317" spans="1:25" ht="33.75" customHeight="1">
      <c r="A317" s="4"/>
      <c r="B317" s="33"/>
      <c r="C317" s="4"/>
      <c r="D317" s="4"/>
      <c r="E317" s="4"/>
      <c r="F317" s="4"/>
      <c r="G317" s="4"/>
      <c r="H317" s="4"/>
      <c r="I317" s="4"/>
      <c r="J317" s="4"/>
      <c r="K317" s="4"/>
      <c r="L317" s="4"/>
      <c r="M317" s="4"/>
      <c r="N317" s="4"/>
      <c r="O317" s="4"/>
      <c r="P317" s="4"/>
      <c r="Q317" s="4"/>
      <c r="R317" s="4"/>
      <c r="S317" s="4"/>
      <c r="T317" s="4"/>
      <c r="U317" s="4"/>
      <c r="V317" s="4"/>
      <c r="W317" s="4"/>
      <c r="X317" s="4"/>
      <c r="Y317" s="4"/>
    </row>
    <row r="318" spans="1:25" ht="33.75" customHeight="1">
      <c r="A318" s="4"/>
      <c r="B318" s="33"/>
      <c r="C318" s="4"/>
      <c r="D318" s="4"/>
      <c r="E318" s="4"/>
      <c r="F318" s="4"/>
      <c r="G318" s="4"/>
      <c r="H318" s="4"/>
      <c r="I318" s="4"/>
      <c r="J318" s="4"/>
      <c r="K318" s="4"/>
      <c r="L318" s="4"/>
      <c r="M318" s="4"/>
      <c r="N318" s="4"/>
      <c r="O318" s="4"/>
      <c r="P318" s="4"/>
      <c r="Q318" s="4"/>
      <c r="R318" s="4"/>
      <c r="S318" s="4"/>
      <c r="T318" s="4"/>
      <c r="U318" s="4"/>
      <c r="V318" s="4"/>
      <c r="W318" s="4"/>
      <c r="X318" s="4"/>
      <c r="Y318" s="4"/>
    </row>
    <row r="319" spans="1:25" ht="33.75" customHeight="1">
      <c r="A319" s="4"/>
      <c r="B319" s="33"/>
      <c r="C319" s="4"/>
      <c r="D319" s="4"/>
      <c r="E319" s="4"/>
      <c r="F319" s="4"/>
      <c r="G319" s="4"/>
      <c r="H319" s="4"/>
      <c r="I319" s="4"/>
      <c r="J319" s="4"/>
      <c r="K319" s="4"/>
      <c r="L319" s="4"/>
      <c r="M319" s="4"/>
      <c r="N319" s="4"/>
      <c r="O319" s="4"/>
      <c r="P319" s="4"/>
      <c r="Q319" s="4"/>
      <c r="R319" s="4"/>
      <c r="S319" s="4"/>
      <c r="T319" s="4"/>
      <c r="U319" s="4"/>
      <c r="V319" s="4"/>
      <c r="W319" s="4"/>
      <c r="X319" s="4"/>
      <c r="Y319" s="4"/>
    </row>
    <row r="320" spans="1:25" ht="33.75" customHeight="1">
      <c r="A320" s="4"/>
      <c r="B320" s="33"/>
      <c r="C320" s="4"/>
      <c r="D320" s="4"/>
      <c r="E320" s="4"/>
      <c r="F320" s="4"/>
      <c r="G320" s="4"/>
      <c r="H320" s="4"/>
      <c r="I320" s="4"/>
      <c r="J320" s="4"/>
      <c r="K320" s="4"/>
      <c r="L320" s="4"/>
      <c r="M320" s="4"/>
      <c r="N320" s="4"/>
      <c r="O320" s="4"/>
      <c r="P320" s="4"/>
      <c r="Q320" s="4"/>
      <c r="R320" s="4"/>
      <c r="S320" s="4"/>
      <c r="T320" s="4"/>
      <c r="U320" s="4"/>
      <c r="V320" s="4"/>
      <c r="W320" s="4"/>
      <c r="X320" s="4"/>
      <c r="Y320" s="4"/>
    </row>
    <row r="321" spans="1:25" ht="33.75" customHeight="1">
      <c r="A321" s="4"/>
      <c r="B321" s="33"/>
      <c r="C321" s="4"/>
      <c r="D321" s="4"/>
      <c r="E321" s="4"/>
      <c r="F321" s="4"/>
      <c r="G321" s="4"/>
      <c r="H321" s="4"/>
      <c r="I321" s="4"/>
      <c r="J321" s="4"/>
      <c r="K321" s="4"/>
      <c r="L321" s="4"/>
      <c r="M321" s="4"/>
      <c r="N321" s="4"/>
      <c r="O321" s="4"/>
      <c r="P321" s="4"/>
      <c r="Q321" s="4"/>
      <c r="R321" s="4"/>
      <c r="S321" s="4"/>
      <c r="T321" s="4"/>
      <c r="U321" s="4"/>
      <c r="V321" s="4"/>
      <c r="W321" s="4"/>
      <c r="X321" s="4"/>
      <c r="Y321" s="4"/>
    </row>
    <row r="322" spans="1:25" ht="33.75" customHeight="1">
      <c r="A322" s="4"/>
      <c r="B322" s="33"/>
      <c r="C322" s="4"/>
      <c r="D322" s="4"/>
      <c r="E322" s="4"/>
      <c r="F322" s="4"/>
      <c r="G322" s="4"/>
      <c r="H322" s="4"/>
      <c r="I322" s="4"/>
      <c r="J322" s="4"/>
      <c r="K322" s="4"/>
      <c r="L322" s="4"/>
      <c r="M322" s="4"/>
      <c r="N322" s="4"/>
      <c r="O322" s="4"/>
      <c r="P322" s="4"/>
      <c r="Q322" s="4"/>
      <c r="R322" s="4"/>
      <c r="S322" s="4"/>
      <c r="T322" s="4"/>
      <c r="U322" s="4"/>
      <c r="V322" s="4"/>
      <c r="W322" s="4"/>
      <c r="X322" s="4"/>
      <c r="Y322" s="4"/>
    </row>
    <row r="323" spans="1:25" ht="33.75" customHeight="1">
      <c r="A323" s="4"/>
      <c r="B323" s="33"/>
      <c r="C323" s="4"/>
      <c r="D323" s="4"/>
      <c r="E323" s="4"/>
      <c r="F323" s="4"/>
      <c r="G323" s="4"/>
      <c r="H323" s="4"/>
      <c r="I323" s="4"/>
      <c r="J323" s="4"/>
      <c r="K323" s="4"/>
      <c r="L323" s="4"/>
      <c r="M323" s="4"/>
      <c r="N323" s="4"/>
      <c r="O323" s="4"/>
      <c r="P323" s="4"/>
      <c r="Q323" s="4"/>
      <c r="R323" s="4"/>
      <c r="S323" s="4"/>
      <c r="T323" s="4"/>
      <c r="U323" s="4"/>
      <c r="V323" s="4"/>
      <c r="W323" s="4"/>
      <c r="X323" s="4"/>
      <c r="Y323" s="4"/>
    </row>
    <row r="324" spans="1:25" ht="33.75" customHeight="1">
      <c r="A324" s="4"/>
      <c r="B324" s="33"/>
      <c r="C324" s="4"/>
      <c r="D324" s="4"/>
      <c r="E324" s="4"/>
      <c r="F324" s="4"/>
      <c r="G324" s="4"/>
      <c r="H324" s="4"/>
      <c r="I324" s="4"/>
      <c r="J324" s="4"/>
      <c r="K324" s="4"/>
      <c r="L324" s="4"/>
      <c r="M324" s="4"/>
      <c r="N324" s="4"/>
      <c r="O324" s="4"/>
      <c r="P324" s="4"/>
      <c r="Q324" s="4"/>
      <c r="R324" s="4"/>
      <c r="S324" s="4"/>
      <c r="T324" s="4"/>
      <c r="U324" s="4"/>
      <c r="V324" s="4"/>
      <c r="W324" s="4"/>
      <c r="X324" s="4"/>
      <c r="Y324" s="4"/>
    </row>
    <row r="325" spans="1:25" ht="33.75" customHeight="1">
      <c r="A325" s="4"/>
      <c r="B325" s="33"/>
      <c r="C325" s="4"/>
      <c r="D325" s="4"/>
      <c r="E325" s="4"/>
      <c r="F325" s="4"/>
      <c r="G325" s="4"/>
      <c r="H325" s="4"/>
      <c r="I325" s="4"/>
      <c r="J325" s="4"/>
      <c r="K325" s="4"/>
      <c r="L325" s="4"/>
      <c r="M325" s="4"/>
      <c r="N325" s="4"/>
      <c r="O325" s="4"/>
      <c r="P325" s="4"/>
      <c r="Q325" s="4"/>
      <c r="R325" s="4"/>
      <c r="S325" s="4"/>
      <c r="T325" s="4"/>
      <c r="U325" s="4"/>
      <c r="V325" s="4"/>
      <c r="W325" s="4"/>
      <c r="X325" s="4"/>
      <c r="Y325" s="4"/>
    </row>
    <row r="326" spans="1:25" ht="33.75" customHeight="1">
      <c r="A326" s="4"/>
      <c r="B326" s="33"/>
      <c r="C326" s="4"/>
      <c r="D326" s="4"/>
      <c r="E326" s="4"/>
      <c r="F326" s="4"/>
      <c r="G326" s="4"/>
      <c r="H326" s="4"/>
      <c r="I326" s="4"/>
      <c r="J326" s="4"/>
      <c r="K326" s="4"/>
      <c r="L326" s="4"/>
      <c r="M326" s="4"/>
      <c r="N326" s="4"/>
      <c r="O326" s="4"/>
      <c r="P326" s="4"/>
      <c r="Q326" s="4"/>
      <c r="R326" s="4"/>
      <c r="S326" s="4"/>
      <c r="T326" s="4"/>
      <c r="U326" s="4"/>
      <c r="V326" s="4"/>
      <c r="W326" s="4"/>
      <c r="X326" s="4"/>
      <c r="Y326" s="4"/>
    </row>
    <row r="327" spans="1:25" ht="33.75" customHeight="1">
      <c r="A327" s="4"/>
      <c r="B327" s="33"/>
      <c r="C327" s="4"/>
      <c r="D327" s="4"/>
      <c r="E327" s="4"/>
      <c r="F327" s="4"/>
      <c r="G327" s="4"/>
      <c r="H327" s="4"/>
      <c r="I327" s="4"/>
      <c r="J327" s="4"/>
      <c r="K327" s="4"/>
      <c r="L327" s="4"/>
      <c r="M327" s="4"/>
      <c r="N327" s="4"/>
      <c r="O327" s="4"/>
      <c r="P327" s="4"/>
      <c r="Q327" s="4"/>
      <c r="R327" s="4"/>
      <c r="S327" s="4"/>
      <c r="T327" s="4"/>
      <c r="U327" s="4"/>
      <c r="V327" s="4"/>
      <c r="W327" s="4"/>
      <c r="X327" s="4"/>
      <c r="Y327" s="4"/>
    </row>
    <row r="328" spans="1:25" ht="33.75" customHeight="1">
      <c r="A328" s="4"/>
      <c r="B328" s="33"/>
      <c r="C328" s="4"/>
      <c r="D328" s="4"/>
      <c r="E328" s="4"/>
      <c r="F328" s="4"/>
      <c r="G328" s="4"/>
      <c r="H328" s="4"/>
      <c r="I328" s="4"/>
      <c r="J328" s="4"/>
      <c r="K328" s="4"/>
      <c r="L328" s="4"/>
      <c r="M328" s="4"/>
      <c r="N328" s="4"/>
      <c r="O328" s="4"/>
      <c r="P328" s="4"/>
      <c r="Q328" s="4"/>
      <c r="R328" s="4"/>
      <c r="S328" s="4"/>
      <c r="T328" s="4"/>
      <c r="U328" s="4"/>
      <c r="V328" s="4"/>
      <c r="W328" s="4"/>
      <c r="X328" s="4"/>
      <c r="Y328" s="4"/>
    </row>
    <row r="329" spans="1:25" ht="33.75" customHeight="1">
      <c r="A329" s="4"/>
      <c r="B329" s="33"/>
      <c r="C329" s="4"/>
      <c r="D329" s="4"/>
      <c r="E329" s="4"/>
      <c r="F329" s="4"/>
      <c r="G329" s="4"/>
      <c r="H329" s="4"/>
      <c r="I329" s="4"/>
      <c r="J329" s="4"/>
      <c r="K329" s="4"/>
      <c r="L329" s="4"/>
      <c r="M329" s="4"/>
      <c r="N329" s="4"/>
      <c r="O329" s="4"/>
      <c r="P329" s="4"/>
      <c r="Q329" s="4"/>
      <c r="R329" s="4"/>
      <c r="S329" s="4"/>
      <c r="T329" s="4"/>
      <c r="U329" s="4"/>
      <c r="V329" s="4"/>
      <c r="W329" s="4"/>
      <c r="X329" s="4"/>
      <c r="Y329" s="4"/>
    </row>
    <row r="330" spans="1:25" ht="33.75" customHeight="1">
      <c r="A330" s="4"/>
      <c r="B330" s="33"/>
      <c r="C330" s="4"/>
      <c r="D330" s="4"/>
      <c r="E330" s="4"/>
      <c r="F330" s="4"/>
      <c r="G330" s="4"/>
      <c r="H330" s="4"/>
      <c r="I330" s="4"/>
      <c r="J330" s="4"/>
      <c r="K330" s="4"/>
      <c r="L330" s="4"/>
      <c r="M330" s="4"/>
      <c r="N330" s="4"/>
      <c r="O330" s="4"/>
      <c r="P330" s="4"/>
      <c r="Q330" s="4"/>
      <c r="R330" s="4"/>
      <c r="S330" s="4"/>
      <c r="T330" s="4"/>
      <c r="U330" s="4"/>
      <c r="V330" s="4"/>
      <c r="W330" s="4"/>
      <c r="X330" s="4"/>
      <c r="Y330" s="4"/>
    </row>
    <row r="331" spans="1:25" ht="33.75" customHeight="1">
      <c r="A331" s="4"/>
      <c r="B331" s="33"/>
      <c r="C331" s="4"/>
      <c r="D331" s="4"/>
      <c r="E331" s="4"/>
      <c r="F331" s="4"/>
      <c r="G331" s="4"/>
      <c r="H331" s="4"/>
      <c r="I331" s="4"/>
      <c r="J331" s="4"/>
      <c r="K331" s="4"/>
      <c r="L331" s="4"/>
      <c r="M331" s="4"/>
      <c r="N331" s="4"/>
      <c r="O331" s="4"/>
      <c r="P331" s="4"/>
      <c r="Q331" s="4"/>
      <c r="R331" s="4"/>
      <c r="S331" s="4"/>
      <c r="T331" s="4"/>
      <c r="U331" s="4"/>
      <c r="V331" s="4"/>
      <c r="W331" s="4"/>
      <c r="X331" s="4"/>
      <c r="Y331" s="4"/>
    </row>
    <row r="332" spans="1:25" ht="33.75" customHeight="1">
      <c r="A332" s="4"/>
      <c r="B332" s="33"/>
      <c r="C332" s="4"/>
      <c r="D332" s="4"/>
      <c r="E332" s="4"/>
      <c r="F332" s="4"/>
      <c r="G332" s="4"/>
      <c r="H332" s="4"/>
      <c r="I332" s="4"/>
      <c r="J332" s="4"/>
      <c r="K332" s="4"/>
      <c r="L332" s="4"/>
      <c r="M332" s="4"/>
      <c r="N332" s="4"/>
      <c r="O332" s="4"/>
      <c r="P332" s="4"/>
      <c r="Q332" s="4"/>
      <c r="R332" s="4"/>
      <c r="S332" s="4"/>
      <c r="T332" s="4"/>
      <c r="U332" s="4"/>
      <c r="V332" s="4"/>
      <c r="W332" s="4"/>
      <c r="X332" s="4"/>
      <c r="Y332" s="4"/>
    </row>
    <row r="333" spans="1:25" ht="33.75" customHeight="1">
      <c r="A333" s="4"/>
      <c r="B333" s="33"/>
      <c r="C333" s="4"/>
      <c r="D333" s="4"/>
      <c r="E333" s="4"/>
      <c r="F333" s="4"/>
      <c r="G333" s="4"/>
      <c r="H333" s="4"/>
      <c r="I333" s="4"/>
      <c r="J333" s="4"/>
      <c r="K333" s="4"/>
      <c r="L333" s="4"/>
      <c r="M333" s="4"/>
      <c r="N333" s="4"/>
      <c r="O333" s="4"/>
      <c r="P333" s="4"/>
      <c r="Q333" s="4"/>
      <c r="R333" s="4"/>
      <c r="S333" s="4"/>
      <c r="T333" s="4"/>
      <c r="U333" s="4"/>
      <c r="V333" s="4"/>
      <c r="W333" s="4"/>
      <c r="X333" s="4"/>
      <c r="Y333" s="4"/>
    </row>
    <row r="334" spans="1:25" ht="33.75" customHeight="1">
      <c r="A334" s="4"/>
      <c r="B334" s="33"/>
      <c r="C334" s="4"/>
      <c r="D334" s="4"/>
      <c r="E334" s="4"/>
      <c r="F334" s="4"/>
      <c r="G334" s="4"/>
      <c r="H334" s="4"/>
      <c r="I334" s="4"/>
      <c r="J334" s="4"/>
      <c r="K334" s="4"/>
      <c r="L334" s="4"/>
      <c r="M334" s="4"/>
      <c r="N334" s="4"/>
      <c r="O334" s="4"/>
      <c r="P334" s="4"/>
      <c r="Q334" s="4"/>
      <c r="R334" s="4"/>
      <c r="S334" s="4"/>
      <c r="T334" s="4"/>
      <c r="U334" s="4"/>
      <c r="V334" s="4"/>
      <c r="W334" s="4"/>
      <c r="X334" s="4"/>
      <c r="Y334" s="4"/>
    </row>
    <row r="335" spans="1:25" ht="33.75" customHeight="1">
      <c r="A335" s="4"/>
      <c r="B335" s="33"/>
      <c r="C335" s="4"/>
      <c r="D335" s="4"/>
      <c r="E335" s="4"/>
      <c r="F335" s="4"/>
      <c r="G335" s="4"/>
      <c r="H335" s="4"/>
      <c r="I335" s="4"/>
      <c r="J335" s="4"/>
      <c r="K335" s="4"/>
      <c r="L335" s="4"/>
      <c r="M335" s="4"/>
      <c r="N335" s="4"/>
      <c r="O335" s="4"/>
      <c r="P335" s="4"/>
      <c r="Q335" s="4"/>
      <c r="R335" s="4"/>
      <c r="S335" s="4"/>
      <c r="T335" s="4"/>
      <c r="U335" s="4"/>
      <c r="V335" s="4"/>
      <c r="W335" s="4"/>
      <c r="X335" s="4"/>
      <c r="Y335" s="4"/>
    </row>
    <row r="336" spans="1:25" ht="33.75" customHeight="1">
      <c r="A336" s="4"/>
      <c r="B336" s="33"/>
      <c r="C336" s="4"/>
      <c r="D336" s="4"/>
      <c r="E336" s="4"/>
      <c r="F336" s="4"/>
      <c r="G336" s="4"/>
      <c r="H336" s="4"/>
      <c r="I336" s="4"/>
      <c r="J336" s="4"/>
      <c r="K336" s="4"/>
      <c r="L336" s="4"/>
      <c r="M336" s="4"/>
      <c r="N336" s="4"/>
      <c r="O336" s="4"/>
      <c r="P336" s="4"/>
      <c r="Q336" s="4"/>
      <c r="R336" s="4"/>
      <c r="S336" s="4"/>
      <c r="T336" s="4"/>
      <c r="U336" s="4"/>
      <c r="V336" s="4"/>
      <c r="W336" s="4"/>
      <c r="X336" s="4"/>
      <c r="Y336" s="4"/>
    </row>
    <row r="337" spans="1:25" ht="33.75" customHeight="1">
      <c r="A337" s="4"/>
      <c r="B337" s="33"/>
      <c r="C337" s="4"/>
      <c r="D337" s="4"/>
      <c r="E337" s="4"/>
      <c r="F337" s="4"/>
      <c r="G337" s="4"/>
      <c r="H337" s="4"/>
      <c r="I337" s="4"/>
      <c r="J337" s="4"/>
      <c r="K337" s="4"/>
      <c r="L337" s="4"/>
      <c r="M337" s="4"/>
      <c r="N337" s="4"/>
      <c r="O337" s="4"/>
      <c r="P337" s="4"/>
      <c r="Q337" s="4"/>
      <c r="R337" s="4"/>
      <c r="S337" s="4"/>
      <c r="T337" s="4"/>
      <c r="U337" s="4"/>
      <c r="V337" s="4"/>
      <c r="W337" s="4"/>
      <c r="X337" s="4"/>
      <c r="Y337" s="4"/>
    </row>
    <row r="338" spans="1:25" ht="33.75" customHeight="1">
      <c r="A338" s="4"/>
      <c r="B338" s="33"/>
      <c r="C338" s="4"/>
      <c r="D338" s="4"/>
      <c r="E338" s="4"/>
      <c r="F338" s="4"/>
      <c r="G338" s="4"/>
      <c r="H338" s="4"/>
      <c r="I338" s="4"/>
      <c r="J338" s="4"/>
      <c r="K338" s="4"/>
      <c r="L338" s="4"/>
      <c r="M338" s="4"/>
      <c r="N338" s="4"/>
      <c r="O338" s="4"/>
      <c r="P338" s="4"/>
      <c r="Q338" s="4"/>
      <c r="R338" s="4"/>
      <c r="S338" s="4"/>
      <c r="T338" s="4"/>
      <c r="U338" s="4"/>
      <c r="V338" s="4"/>
      <c r="W338" s="4"/>
      <c r="X338" s="4"/>
      <c r="Y338" s="4"/>
    </row>
    <row r="339" spans="1:25" ht="33.75" customHeight="1">
      <c r="A339" s="4"/>
      <c r="B339" s="33"/>
      <c r="C339" s="4"/>
      <c r="D339" s="4"/>
      <c r="E339" s="4"/>
      <c r="F339" s="4"/>
      <c r="G339" s="4"/>
      <c r="H339" s="4"/>
      <c r="I339" s="4"/>
      <c r="J339" s="4"/>
      <c r="K339" s="4"/>
      <c r="L339" s="4"/>
      <c r="M339" s="4"/>
      <c r="N339" s="4"/>
      <c r="O339" s="4"/>
      <c r="P339" s="4"/>
      <c r="Q339" s="4"/>
      <c r="R339" s="4"/>
      <c r="S339" s="4"/>
      <c r="T339" s="4"/>
      <c r="U339" s="4"/>
      <c r="V339" s="4"/>
      <c r="W339" s="4"/>
      <c r="X339" s="4"/>
      <c r="Y339" s="4"/>
    </row>
    <row r="340" spans="1:25" ht="33.75" customHeight="1">
      <c r="A340" s="4"/>
      <c r="B340" s="33"/>
      <c r="C340" s="4"/>
      <c r="D340" s="4"/>
      <c r="E340" s="4"/>
      <c r="F340" s="4"/>
      <c r="G340" s="4"/>
      <c r="H340" s="4"/>
      <c r="I340" s="4"/>
      <c r="J340" s="4"/>
      <c r="K340" s="4"/>
      <c r="L340" s="4"/>
      <c r="M340" s="4"/>
      <c r="N340" s="4"/>
      <c r="O340" s="4"/>
      <c r="P340" s="4"/>
      <c r="Q340" s="4"/>
      <c r="R340" s="4"/>
      <c r="S340" s="4"/>
      <c r="T340" s="4"/>
      <c r="U340" s="4"/>
      <c r="V340" s="4"/>
      <c r="W340" s="4"/>
      <c r="X340" s="4"/>
      <c r="Y340" s="4"/>
    </row>
    <row r="341" spans="1:25" ht="33.75" customHeight="1">
      <c r="A341" s="4"/>
      <c r="B341" s="33"/>
      <c r="C341" s="4"/>
      <c r="D341" s="4"/>
      <c r="E341" s="4"/>
      <c r="F341" s="4"/>
      <c r="G341" s="4"/>
      <c r="H341" s="4"/>
      <c r="I341" s="4"/>
      <c r="J341" s="4"/>
      <c r="K341" s="4"/>
      <c r="L341" s="4"/>
      <c r="M341" s="4"/>
      <c r="N341" s="4"/>
      <c r="O341" s="4"/>
      <c r="P341" s="4"/>
      <c r="Q341" s="4"/>
      <c r="R341" s="4"/>
      <c r="S341" s="4"/>
      <c r="T341" s="4"/>
      <c r="U341" s="4"/>
      <c r="V341" s="4"/>
      <c r="W341" s="4"/>
      <c r="X341" s="4"/>
      <c r="Y341" s="4"/>
    </row>
    <row r="342" spans="1:25" ht="33.75" customHeight="1">
      <c r="A342" s="4"/>
      <c r="B342" s="33"/>
      <c r="C342" s="4"/>
      <c r="D342" s="4"/>
      <c r="E342" s="4"/>
      <c r="F342" s="4"/>
      <c r="G342" s="4"/>
      <c r="H342" s="4"/>
      <c r="I342" s="4"/>
      <c r="J342" s="4"/>
      <c r="K342" s="4"/>
      <c r="L342" s="4"/>
      <c r="M342" s="4"/>
      <c r="N342" s="4"/>
      <c r="O342" s="4"/>
      <c r="P342" s="4"/>
      <c r="Q342" s="4"/>
      <c r="R342" s="4"/>
      <c r="S342" s="4"/>
      <c r="T342" s="4"/>
      <c r="U342" s="4"/>
      <c r="V342" s="4"/>
      <c r="W342" s="4"/>
      <c r="X342" s="4"/>
      <c r="Y342" s="4"/>
    </row>
    <row r="343" spans="1:25" ht="33.75" customHeight="1">
      <c r="A343" s="4"/>
      <c r="B343" s="33"/>
      <c r="C343" s="4"/>
      <c r="D343" s="4"/>
      <c r="E343" s="4"/>
      <c r="F343" s="4"/>
      <c r="G343" s="4"/>
      <c r="H343" s="4"/>
      <c r="I343" s="4"/>
      <c r="J343" s="4"/>
      <c r="K343" s="4"/>
      <c r="L343" s="4"/>
      <c r="M343" s="4"/>
      <c r="N343" s="4"/>
      <c r="O343" s="4"/>
      <c r="P343" s="4"/>
      <c r="Q343" s="4"/>
      <c r="R343" s="4"/>
      <c r="S343" s="4"/>
      <c r="T343" s="4"/>
      <c r="U343" s="4"/>
      <c r="V343" s="4"/>
      <c r="W343" s="4"/>
      <c r="X343" s="4"/>
      <c r="Y343" s="4"/>
    </row>
    <row r="344" spans="1:25" ht="33.75" customHeight="1">
      <c r="A344" s="4"/>
      <c r="B344" s="33"/>
      <c r="C344" s="4"/>
      <c r="D344" s="4"/>
      <c r="E344" s="4"/>
      <c r="F344" s="4"/>
      <c r="G344" s="4"/>
      <c r="H344" s="4"/>
      <c r="I344" s="4"/>
      <c r="J344" s="4"/>
      <c r="K344" s="4"/>
      <c r="L344" s="4"/>
      <c r="M344" s="4"/>
      <c r="N344" s="4"/>
      <c r="O344" s="4"/>
      <c r="P344" s="4"/>
      <c r="Q344" s="4"/>
      <c r="R344" s="4"/>
      <c r="S344" s="4"/>
      <c r="T344" s="4"/>
      <c r="U344" s="4"/>
      <c r="V344" s="4"/>
      <c r="W344" s="4"/>
      <c r="X344" s="4"/>
      <c r="Y344" s="4"/>
    </row>
    <row r="345" spans="1:25" ht="33.75" customHeight="1">
      <c r="A345" s="4"/>
      <c r="B345" s="33"/>
      <c r="C345" s="4"/>
      <c r="D345" s="4"/>
      <c r="E345" s="4"/>
      <c r="F345" s="4"/>
      <c r="G345" s="4"/>
      <c r="H345" s="4"/>
      <c r="I345" s="4"/>
      <c r="J345" s="4"/>
      <c r="K345" s="4"/>
      <c r="L345" s="4"/>
      <c r="M345" s="4"/>
      <c r="N345" s="4"/>
      <c r="O345" s="4"/>
      <c r="P345" s="4"/>
      <c r="Q345" s="4"/>
      <c r="R345" s="4"/>
      <c r="S345" s="4"/>
      <c r="T345" s="4"/>
      <c r="U345" s="4"/>
      <c r="V345" s="4"/>
      <c r="W345" s="4"/>
      <c r="X345" s="4"/>
      <c r="Y345" s="4"/>
    </row>
    <row r="346" spans="1:25" ht="33.75" customHeight="1">
      <c r="A346" s="4"/>
      <c r="B346" s="33"/>
      <c r="C346" s="4"/>
      <c r="D346" s="4"/>
      <c r="E346" s="4"/>
      <c r="F346" s="4"/>
      <c r="G346" s="4"/>
      <c r="H346" s="4"/>
      <c r="I346" s="4"/>
      <c r="J346" s="4"/>
      <c r="K346" s="4"/>
      <c r="L346" s="4"/>
      <c r="M346" s="4"/>
      <c r="N346" s="4"/>
      <c r="O346" s="4"/>
      <c r="P346" s="4"/>
      <c r="Q346" s="4"/>
      <c r="R346" s="4"/>
      <c r="S346" s="4"/>
      <c r="T346" s="4"/>
      <c r="U346" s="4"/>
      <c r="V346" s="4"/>
      <c r="W346" s="4"/>
      <c r="X346" s="4"/>
      <c r="Y346" s="4"/>
    </row>
    <row r="347" spans="1:25" ht="33.75" customHeight="1">
      <c r="A347" s="4"/>
      <c r="B347" s="33"/>
      <c r="C347" s="4"/>
      <c r="D347" s="4"/>
      <c r="E347" s="4"/>
      <c r="F347" s="4"/>
      <c r="G347" s="4"/>
      <c r="H347" s="4"/>
      <c r="I347" s="4"/>
      <c r="J347" s="4"/>
      <c r="K347" s="4"/>
      <c r="L347" s="4"/>
      <c r="M347" s="4"/>
      <c r="N347" s="4"/>
      <c r="O347" s="4"/>
      <c r="P347" s="4"/>
      <c r="Q347" s="4"/>
      <c r="R347" s="4"/>
      <c r="S347" s="4"/>
      <c r="T347" s="4"/>
      <c r="U347" s="4"/>
      <c r="V347" s="4"/>
      <c r="W347" s="4"/>
      <c r="X347" s="4"/>
      <c r="Y347" s="4"/>
    </row>
    <row r="348" spans="1:25" ht="33.75" customHeight="1">
      <c r="A348" s="4"/>
      <c r="B348" s="33"/>
      <c r="C348" s="4"/>
      <c r="D348" s="4"/>
      <c r="E348" s="4"/>
      <c r="F348" s="4"/>
      <c r="G348" s="4"/>
      <c r="H348" s="4"/>
      <c r="I348" s="4"/>
      <c r="J348" s="4"/>
      <c r="K348" s="4"/>
      <c r="L348" s="4"/>
      <c r="M348" s="4"/>
      <c r="N348" s="4"/>
      <c r="O348" s="4"/>
      <c r="P348" s="4"/>
      <c r="Q348" s="4"/>
      <c r="R348" s="4"/>
      <c r="S348" s="4"/>
      <c r="T348" s="4"/>
      <c r="U348" s="4"/>
      <c r="V348" s="4"/>
      <c r="W348" s="4"/>
      <c r="X348" s="4"/>
      <c r="Y348" s="4"/>
    </row>
    <row r="349" spans="1:25" ht="33.75" customHeight="1">
      <c r="A349" s="4"/>
      <c r="B349" s="33"/>
      <c r="C349" s="4"/>
      <c r="D349" s="4"/>
      <c r="E349" s="4"/>
      <c r="F349" s="4"/>
      <c r="G349" s="4"/>
      <c r="H349" s="4"/>
      <c r="I349" s="4"/>
      <c r="J349" s="4"/>
      <c r="K349" s="4"/>
      <c r="L349" s="4"/>
      <c r="M349" s="4"/>
      <c r="N349" s="4"/>
      <c r="O349" s="4"/>
      <c r="P349" s="4"/>
      <c r="Q349" s="4"/>
      <c r="R349" s="4"/>
      <c r="S349" s="4"/>
      <c r="T349" s="4"/>
      <c r="U349" s="4"/>
      <c r="V349" s="4"/>
      <c r="W349" s="4"/>
      <c r="X349" s="4"/>
      <c r="Y349" s="4"/>
    </row>
    <row r="350" spans="1:25" ht="33.75" customHeight="1">
      <c r="A350" s="4"/>
      <c r="B350" s="33"/>
      <c r="C350" s="4"/>
      <c r="D350" s="4"/>
      <c r="E350" s="4"/>
      <c r="F350" s="4"/>
      <c r="G350" s="4"/>
      <c r="H350" s="4"/>
      <c r="I350" s="4"/>
      <c r="J350" s="4"/>
      <c r="K350" s="4"/>
      <c r="L350" s="4"/>
      <c r="M350" s="4"/>
      <c r="N350" s="4"/>
      <c r="O350" s="4"/>
      <c r="P350" s="4"/>
      <c r="Q350" s="4"/>
      <c r="R350" s="4"/>
      <c r="S350" s="4"/>
      <c r="T350" s="4"/>
      <c r="U350" s="4"/>
      <c r="V350" s="4"/>
      <c r="W350" s="4"/>
      <c r="X350" s="4"/>
      <c r="Y350" s="4"/>
    </row>
    <row r="351" spans="1:25" ht="33.75" customHeight="1">
      <c r="A351" s="4"/>
      <c r="B351" s="33"/>
      <c r="C351" s="4"/>
      <c r="D351" s="4"/>
      <c r="E351" s="4"/>
      <c r="F351" s="4"/>
      <c r="G351" s="4"/>
      <c r="H351" s="4"/>
      <c r="I351" s="4"/>
      <c r="J351" s="4"/>
      <c r="K351" s="4"/>
      <c r="L351" s="4"/>
      <c r="M351" s="4"/>
      <c r="N351" s="4"/>
      <c r="O351" s="4"/>
      <c r="P351" s="4"/>
      <c r="Q351" s="4"/>
      <c r="R351" s="4"/>
      <c r="S351" s="4"/>
      <c r="T351" s="4"/>
      <c r="U351" s="4"/>
      <c r="V351" s="4"/>
      <c r="W351" s="4"/>
      <c r="X351" s="4"/>
      <c r="Y351" s="4"/>
    </row>
    <row r="352" spans="1:25" ht="33.75" customHeight="1">
      <c r="A352" s="4"/>
      <c r="B352" s="33"/>
      <c r="C352" s="4"/>
      <c r="D352" s="4"/>
      <c r="E352" s="4"/>
      <c r="F352" s="4"/>
      <c r="G352" s="4"/>
      <c r="H352" s="4"/>
      <c r="I352" s="4"/>
      <c r="J352" s="4"/>
      <c r="K352" s="4"/>
      <c r="L352" s="4"/>
      <c r="M352" s="4"/>
      <c r="N352" s="4"/>
      <c r="O352" s="4"/>
      <c r="P352" s="4"/>
      <c r="Q352" s="4"/>
      <c r="R352" s="4"/>
      <c r="S352" s="4"/>
      <c r="T352" s="4"/>
      <c r="U352" s="4"/>
      <c r="V352" s="4"/>
      <c r="W352" s="4"/>
      <c r="X352" s="4"/>
      <c r="Y352" s="4"/>
    </row>
    <row r="353" spans="2:2" ht="15.75" customHeight="1">
      <c r="B353" s="34"/>
    </row>
    <row r="354" spans="2:2" ht="15.75" customHeight="1">
      <c r="B354" s="34"/>
    </row>
    <row r="355" spans="2:2" ht="15.75" customHeight="1">
      <c r="B355" s="34"/>
    </row>
    <row r="356" spans="2:2" ht="15.75" customHeight="1">
      <c r="B356" s="34"/>
    </row>
    <row r="357" spans="2:2" ht="15.75" customHeight="1">
      <c r="B357" s="34"/>
    </row>
    <row r="358" spans="2:2" ht="15.75" customHeight="1">
      <c r="B358" s="34"/>
    </row>
    <row r="359" spans="2:2" ht="15.75" customHeight="1">
      <c r="B359" s="34"/>
    </row>
    <row r="360" spans="2:2" ht="15.75" customHeight="1">
      <c r="B360" s="34"/>
    </row>
    <row r="361" spans="2:2" ht="15.75" customHeight="1">
      <c r="B361" s="34"/>
    </row>
    <row r="362" spans="2:2" ht="15.75" customHeight="1">
      <c r="B362" s="34"/>
    </row>
    <row r="363" spans="2:2" ht="15.75" customHeight="1">
      <c r="B363" s="34"/>
    </row>
    <row r="364" spans="2:2" ht="15.75" customHeight="1">
      <c r="B364" s="34"/>
    </row>
    <row r="365" spans="2:2" ht="15.75" customHeight="1">
      <c r="B365" s="34"/>
    </row>
    <row r="366" spans="2:2" ht="15.75" customHeight="1">
      <c r="B366" s="34"/>
    </row>
    <row r="367" spans="2:2" ht="15.75" customHeight="1">
      <c r="B367" s="34"/>
    </row>
    <row r="368" spans="2:2" ht="15.75" customHeight="1">
      <c r="B368" s="34"/>
    </row>
    <row r="369" spans="2:2" ht="15.75" customHeight="1">
      <c r="B369" s="34"/>
    </row>
    <row r="370" spans="2:2" ht="15.75" customHeight="1">
      <c r="B370" s="34"/>
    </row>
    <row r="371" spans="2:2" ht="15.75" customHeight="1">
      <c r="B371" s="34"/>
    </row>
    <row r="372" spans="2:2" ht="15.75" customHeight="1">
      <c r="B372" s="34"/>
    </row>
    <row r="373" spans="2:2" ht="15.75" customHeight="1">
      <c r="B373" s="34"/>
    </row>
    <row r="374" spans="2:2" ht="15.75" customHeight="1">
      <c r="B374" s="34"/>
    </row>
    <row r="375" spans="2:2" ht="15.75" customHeight="1">
      <c r="B375" s="34"/>
    </row>
    <row r="376" spans="2:2" ht="15.75" customHeight="1">
      <c r="B376" s="34"/>
    </row>
    <row r="377" spans="2:2" ht="15.75" customHeight="1">
      <c r="B377" s="34"/>
    </row>
    <row r="378" spans="2:2" ht="15.75" customHeight="1">
      <c r="B378" s="34"/>
    </row>
    <row r="379" spans="2:2" ht="15.75" customHeight="1">
      <c r="B379" s="34"/>
    </row>
    <row r="380" spans="2:2" ht="15.75" customHeight="1">
      <c r="B380" s="34"/>
    </row>
    <row r="381" spans="2:2" ht="15.75" customHeight="1">
      <c r="B381" s="34"/>
    </row>
    <row r="382" spans="2:2" ht="15.75" customHeight="1">
      <c r="B382" s="34"/>
    </row>
    <row r="383" spans="2:2" ht="15.75" customHeight="1">
      <c r="B383" s="34"/>
    </row>
    <row r="384" spans="2:2" ht="15.75" customHeight="1">
      <c r="B384" s="34"/>
    </row>
    <row r="385" spans="2:2" ht="15.75" customHeight="1">
      <c r="B385" s="34"/>
    </row>
    <row r="386" spans="2:2" ht="15.75" customHeight="1">
      <c r="B386" s="34"/>
    </row>
    <row r="387" spans="2:2" ht="15.75" customHeight="1">
      <c r="B387" s="34"/>
    </row>
    <row r="388" spans="2:2" ht="15.75" customHeight="1">
      <c r="B388" s="34"/>
    </row>
    <row r="389" spans="2:2" ht="15.75" customHeight="1">
      <c r="B389" s="34"/>
    </row>
    <row r="390" spans="2:2" ht="15.75" customHeight="1">
      <c r="B390" s="34"/>
    </row>
    <row r="391" spans="2:2" ht="15.75" customHeight="1">
      <c r="B391" s="34"/>
    </row>
    <row r="392" spans="2:2" ht="15.75" customHeight="1">
      <c r="B392" s="34"/>
    </row>
    <row r="393" spans="2:2" ht="15.75" customHeight="1">
      <c r="B393" s="34"/>
    </row>
    <row r="394" spans="2:2" ht="15.75" customHeight="1">
      <c r="B394" s="34"/>
    </row>
    <row r="395" spans="2:2" ht="15.75" customHeight="1">
      <c r="B395" s="34"/>
    </row>
    <row r="396" spans="2:2" ht="15.75" customHeight="1">
      <c r="B396" s="34"/>
    </row>
    <row r="397" spans="2:2" ht="15.75" customHeight="1">
      <c r="B397" s="34"/>
    </row>
    <row r="398" spans="2:2" ht="15.75" customHeight="1">
      <c r="B398" s="34"/>
    </row>
    <row r="399" spans="2:2" ht="15.75" customHeight="1">
      <c r="B399" s="34"/>
    </row>
    <row r="400" spans="2:2" ht="15.75" customHeight="1">
      <c r="B400" s="34"/>
    </row>
    <row r="401" spans="2:2" ht="15.75" customHeight="1">
      <c r="B401" s="34"/>
    </row>
    <row r="402" spans="2:2" ht="15.75" customHeight="1">
      <c r="B402" s="34"/>
    </row>
    <row r="403" spans="2:2" ht="15.75" customHeight="1">
      <c r="B403" s="34"/>
    </row>
    <row r="404" spans="2:2" ht="15.75" customHeight="1">
      <c r="B404" s="34"/>
    </row>
    <row r="405" spans="2:2" ht="15.75" customHeight="1">
      <c r="B405" s="34"/>
    </row>
    <row r="406" spans="2:2" ht="15.75" customHeight="1">
      <c r="B406" s="34"/>
    </row>
    <row r="407" spans="2:2" ht="15.75" customHeight="1">
      <c r="B407" s="34"/>
    </row>
    <row r="408" spans="2:2" ht="15.75" customHeight="1">
      <c r="B408" s="34"/>
    </row>
    <row r="409" spans="2:2" ht="15.75" customHeight="1">
      <c r="B409" s="34"/>
    </row>
    <row r="410" spans="2:2" ht="15.75" customHeight="1">
      <c r="B410" s="34"/>
    </row>
    <row r="411" spans="2:2" ht="15.75" customHeight="1">
      <c r="B411" s="34"/>
    </row>
    <row r="412" spans="2:2" ht="15.75" customHeight="1">
      <c r="B412" s="34"/>
    </row>
    <row r="413" spans="2:2" ht="15.75" customHeight="1">
      <c r="B413" s="34"/>
    </row>
    <row r="414" spans="2:2" ht="15.75" customHeight="1">
      <c r="B414" s="34"/>
    </row>
    <row r="415" spans="2:2" ht="15.75" customHeight="1">
      <c r="B415" s="34"/>
    </row>
    <row r="416" spans="2:2" ht="15.75" customHeight="1">
      <c r="B416" s="34"/>
    </row>
    <row r="417" spans="2:2" ht="15.75" customHeight="1">
      <c r="B417" s="34"/>
    </row>
    <row r="418" spans="2:2" ht="15.75" customHeight="1">
      <c r="B418" s="34"/>
    </row>
    <row r="419" spans="2:2" ht="15.75" customHeight="1">
      <c r="B419" s="34"/>
    </row>
    <row r="420" spans="2:2" ht="15.75" customHeight="1">
      <c r="B420" s="34"/>
    </row>
    <row r="421" spans="2:2" ht="15.75" customHeight="1">
      <c r="B421" s="34"/>
    </row>
    <row r="422" spans="2:2" ht="15.75" customHeight="1">
      <c r="B422" s="34"/>
    </row>
    <row r="423" spans="2:2" ht="15.75" customHeight="1">
      <c r="B423" s="34"/>
    </row>
    <row r="424" spans="2:2" ht="15.75" customHeight="1">
      <c r="B424" s="34"/>
    </row>
    <row r="425" spans="2:2" ht="15.75" customHeight="1">
      <c r="B425" s="34"/>
    </row>
    <row r="426" spans="2:2" ht="15.75" customHeight="1">
      <c r="B426" s="34"/>
    </row>
    <row r="427" spans="2:2" ht="15.75" customHeight="1">
      <c r="B427" s="34"/>
    </row>
    <row r="428" spans="2:2" ht="15.75" customHeight="1">
      <c r="B428" s="34"/>
    </row>
    <row r="429" spans="2:2" ht="15.75" customHeight="1">
      <c r="B429" s="34"/>
    </row>
    <row r="430" spans="2:2" ht="15.75" customHeight="1">
      <c r="B430" s="34"/>
    </row>
    <row r="431" spans="2:2" ht="15.75" customHeight="1">
      <c r="B431" s="34"/>
    </row>
    <row r="432" spans="2:2" ht="15.75" customHeight="1">
      <c r="B432" s="34"/>
    </row>
    <row r="433" spans="2:2" ht="15.75" customHeight="1">
      <c r="B433" s="34"/>
    </row>
    <row r="434" spans="2:2" ht="15.75" customHeight="1">
      <c r="B434" s="34"/>
    </row>
    <row r="435" spans="2:2" ht="15.75" customHeight="1">
      <c r="B435" s="34"/>
    </row>
    <row r="436" spans="2:2" ht="15.75" customHeight="1">
      <c r="B436" s="34"/>
    </row>
    <row r="437" spans="2:2" ht="15.75" customHeight="1">
      <c r="B437" s="34"/>
    </row>
    <row r="438" spans="2:2" ht="15.75" customHeight="1">
      <c r="B438" s="34"/>
    </row>
    <row r="439" spans="2:2" ht="15.75" customHeight="1">
      <c r="B439" s="34"/>
    </row>
    <row r="440" spans="2:2" ht="15.75" customHeight="1">
      <c r="B440" s="34"/>
    </row>
    <row r="441" spans="2:2" ht="15.75" customHeight="1">
      <c r="B441" s="34"/>
    </row>
    <row r="442" spans="2:2" ht="15.75" customHeight="1">
      <c r="B442" s="34"/>
    </row>
    <row r="443" spans="2:2" ht="15.75" customHeight="1">
      <c r="B443" s="34"/>
    </row>
    <row r="444" spans="2:2" ht="15.75" customHeight="1">
      <c r="B444" s="34"/>
    </row>
    <row r="445" spans="2:2" ht="15.75" customHeight="1">
      <c r="B445" s="34"/>
    </row>
    <row r="446" spans="2:2" ht="15.75" customHeight="1">
      <c r="B446" s="34"/>
    </row>
    <row r="447" spans="2:2" ht="15.75" customHeight="1">
      <c r="B447" s="34"/>
    </row>
    <row r="448" spans="2:2" ht="15.75" customHeight="1">
      <c r="B448" s="34"/>
    </row>
    <row r="449" spans="2:2" ht="15.75" customHeight="1">
      <c r="B449" s="34"/>
    </row>
    <row r="450" spans="2:2" ht="15.75" customHeight="1">
      <c r="B450" s="34"/>
    </row>
    <row r="451" spans="2:2" ht="15.75" customHeight="1">
      <c r="B451" s="34"/>
    </row>
    <row r="452" spans="2:2" ht="15.75" customHeight="1">
      <c r="B452" s="34"/>
    </row>
    <row r="453" spans="2:2" ht="15.75" customHeight="1">
      <c r="B453" s="34"/>
    </row>
    <row r="454" spans="2:2" ht="15.75" customHeight="1">
      <c r="B454" s="34"/>
    </row>
    <row r="455" spans="2:2" ht="15.75" customHeight="1">
      <c r="B455" s="34"/>
    </row>
    <row r="456" spans="2:2" ht="15.75" customHeight="1">
      <c r="B456" s="34"/>
    </row>
    <row r="457" spans="2:2" ht="15.75" customHeight="1">
      <c r="B457" s="34"/>
    </row>
    <row r="458" spans="2:2" ht="15.75" customHeight="1">
      <c r="B458" s="34"/>
    </row>
    <row r="459" spans="2:2" ht="15.75" customHeight="1">
      <c r="B459" s="34"/>
    </row>
    <row r="460" spans="2:2" ht="15.75" customHeight="1">
      <c r="B460" s="34"/>
    </row>
    <row r="461" spans="2:2" ht="15.75" customHeight="1">
      <c r="B461" s="34"/>
    </row>
    <row r="462" spans="2:2" ht="15.75" customHeight="1">
      <c r="B462" s="34"/>
    </row>
    <row r="463" spans="2:2" ht="15.75" customHeight="1">
      <c r="B463" s="34"/>
    </row>
    <row r="464" spans="2:2" ht="15.75" customHeight="1">
      <c r="B464" s="34"/>
    </row>
    <row r="465" spans="2:2" ht="15.75" customHeight="1">
      <c r="B465" s="34"/>
    </row>
    <row r="466" spans="2:2" ht="15.75" customHeight="1">
      <c r="B466" s="34"/>
    </row>
    <row r="467" spans="2:2" ht="15.75" customHeight="1">
      <c r="B467" s="34"/>
    </row>
    <row r="468" spans="2:2" ht="15.75" customHeight="1">
      <c r="B468" s="34"/>
    </row>
    <row r="469" spans="2:2" ht="15.75" customHeight="1">
      <c r="B469" s="34"/>
    </row>
    <row r="470" spans="2:2" ht="15.75" customHeight="1">
      <c r="B470" s="34"/>
    </row>
    <row r="471" spans="2:2" ht="15.75" customHeight="1">
      <c r="B471" s="34"/>
    </row>
    <row r="472" spans="2:2" ht="15.75" customHeight="1">
      <c r="B472" s="34"/>
    </row>
    <row r="473" spans="2:2" ht="15.75" customHeight="1">
      <c r="B473" s="34"/>
    </row>
    <row r="474" spans="2:2" ht="15.75" customHeight="1">
      <c r="B474" s="34"/>
    </row>
    <row r="475" spans="2:2" ht="15.75" customHeight="1">
      <c r="B475" s="34"/>
    </row>
    <row r="476" spans="2:2" ht="15.75" customHeight="1">
      <c r="B476" s="34"/>
    </row>
    <row r="477" spans="2:2" ht="15.75" customHeight="1">
      <c r="B477" s="34"/>
    </row>
    <row r="478" spans="2:2" ht="15.75" customHeight="1">
      <c r="B478" s="34"/>
    </row>
    <row r="479" spans="2:2" ht="15.75" customHeight="1">
      <c r="B479" s="34"/>
    </row>
    <row r="480" spans="2:2" ht="15.75" customHeight="1">
      <c r="B480" s="34"/>
    </row>
    <row r="481" spans="2:2" ht="15.75" customHeight="1">
      <c r="B481" s="34"/>
    </row>
    <row r="482" spans="2:2" ht="15.75" customHeight="1">
      <c r="B482" s="34"/>
    </row>
    <row r="483" spans="2:2" ht="15.75" customHeight="1">
      <c r="B483" s="34"/>
    </row>
    <row r="484" spans="2:2" ht="15.75" customHeight="1">
      <c r="B484" s="34"/>
    </row>
    <row r="485" spans="2:2" ht="15.75" customHeight="1">
      <c r="B485" s="34"/>
    </row>
    <row r="486" spans="2:2" ht="15.75" customHeight="1">
      <c r="B486" s="34"/>
    </row>
    <row r="487" spans="2:2" ht="15.75" customHeight="1">
      <c r="B487" s="34"/>
    </row>
    <row r="488" spans="2:2" ht="15.75" customHeight="1">
      <c r="B488" s="34"/>
    </row>
    <row r="489" spans="2:2" ht="15.75" customHeight="1">
      <c r="B489" s="34"/>
    </row>
    <row r="490" spans="2:2" ht="15.75" customHeight="1">
      <c r="B490" s="34"/>
    </row>
    <row r="491" spans="2:2" ht="15.75" customHeight="1">
      <c r="B491" s="34"/>
    </row>
    <row r="492" spans="2:2" ht="15.75" customHeight="1">
      <c r="B492" s="34"/>
    </row>
    <row r="493" spans="2:2" ht="15.75" customHeight="1">
      <c r="B493" s="34"/>
    </row>
    <row r="494" spans="2:2" ht="15.75" customHeight="1">
      <c r="B494" s="34"/>
    </row>
    <row r="495" spans="2:2" ht="15.75" customHeight="1">
      <c r="B495" s="34"/>
    </row>
    <row r="496" spans="2:2" ht="15.75" customHeight="1">
      <c r="B496" s="34"/>
    </row>
    <row r="497" spans="2:2" ht="15.75" customHeight="1">
      <c r="B497" s="34"/>
    </row>
    <row r="498" spans="2:2" ht="15.75" customHeight="1">
      <c r="B498" s="34"/>
    </row>
    <row r="499" spans="2:2" ht="15.75" customHeight="1">
      <c r="B499" s="34"/>
    </row>
    <row r="500" spans="2:2" ht="15.75" customHeight="1">
      <c r="B500" s="34"/>
    </row>
    <row r="501" spans="2:2" ht="15.75" customHeight="1">
      <c r="B501" s="34"/>
    </row>
    <row r="502" spans="2:2" ht="15.75" customHeight="1">
      <c r="B502" s="34"/>
    </row>
    <row r="503" spans="2:2" ht="15.75" customHeight="1">
      <c r="B503" s="34"/>
    </row>
    <row r="504" spans="2:2" ht="15.75" customHeight="1">
      <c r="B504" s="34"/>
    </row>
    <row r="505" spans="2:2" ht="15.75" customHeight="1">
      <c r="B505" s="34"/>
    </row>
    <row r="506" spans="2:2" ht="15.75" customHeight="1">
      <c r="B506" s="34"/>
    </row>
    <row r="507" spans="2:2" ht="15.75" customHeight="1">
      <c r="B507" s="34"/>
    </row>
    <row r="508" spans="2:2" ht="15.75" customHeight="1">
      <c r="B508" s="34"/>
    </row>
    <row r="509" spans="2:2" ht="15.75" customHeight="1">
      <c r="B509" s="34"/>
    </row>
    <row r="510" spans="2:2" ht="15.75" customHeight="1">
      <c r="B510" s="34"/>
    </row>
    <row r="511" spans="2:2" ht="15.75" customHeight="1">
      <c r="B511" s="34"/>
    </row>
    <row r="512" spans="2:2" ht="15.75" customHeight="1">
      <c r="B512" s="34"/>
    </row>
    <row r="513" spans="2:2" ht="15.75" customHeight="1">
      <c r="B513" s="34"/>
    </row>
    <row r="514" spans="2:2" ht="15.75" customHeight="1">
      <c r="B514" s="34"/>
    </row>
    <row r="515" spans="2:2" ht="15.75" customHeight="1">
      <c r="B515" s="34"/>
    </row>
    <row r="516" spans="2:2" ht="15.75" customHeight="1">
      <c r="B516" s="34"/>
    </row>
    <row r="517" spans="2:2" ht="15.75" customHeight="1">
      <c r="B517" s="34"/>
    </row>
    <row r="518" spans="2:2" ht="15.75" customHeight="1">
      <c r="B518" s="34"/>
    </row>
    <row r="519" spans="2:2" ht="15.75" customHeight="1">
      <c r="B519" s="34"/>
    </row>
    <row r="520" spans="2:2" ht="15.75" customHeight="1">
      <c r="B520" s="34"/>
    </row>
    <row r="521" spans="2:2" ht="15.75" customHeight="1">
      <c r="B521" s="34"/>
    </row>
    <row r="522" spans="2:2" ht="15.75" customHeight="1">
      <c r="B522" s="34"/>
    </row>
    <row r="523" spans="2:2" ht="15.75" customHeight="1">
      <c r="B523" s="34"/>
    </row>
    <row r="524" spans="2:2" ht="15.75" customHeight="1">
      <c r="B524" s="34"/>
    </row>
    <row r="525" spans="2:2" ht="15.75" customHeight="1">
      <c r="B525" s="34"/>
    </row>
    <row r="526" spans="2:2" ht="15.75" customHeight="1">
      <c r="B526" s="34"/>
    </row>
    <row r="527" spans="2:2" ht="15.75" customHeight="1">
      <c r="B527" s="34"/>
    </row>
    <row r="528" spans="2:2" ht="15.75" customHeight="1">
      <c r="B528" s="34"/>
    </row>
    <row r="529" spans="2:2" ht="15.75" customHeight="1">
      <c r="B529" s="34"/>
    </row>
    <row r="530" spans="2:2" ht="15.75" customHeight="1">
      <c r="B530" s="34"/>
    </row>
    <row r="531" spans="2:2" ht="15.75" customHeight="1">
      <c r="B531" s="34"/>
    </row>
    <row r="532" spans="2:2" ht="15.75" customHeight="1">
      <c r="B532" s="34"/>
    </row>
    <row r="533" spans="2:2" ht="15.75" customHeight="1">
      <c r="B533" s="34"/>
    </row>
    <row r="534" spans="2:2" ht="15.75" customHeight="1">
      <c r="B534" s="34"/>
    </row>
    <row r="535" spans="2:2" ht="15.75" customHeight="1">
      <c r="B535" s="34"/>
    </row>
    <row r="536" spans="2:2" ht="15.75" customHeight="1">
      <c r="B536" s="34"/>
    </row>
    <row r="537" spans="2:2" ht="15.75" customHeight="1">
      <c r="B537" s="34"/>
    </row>
    <row r="538" spans="2:2" ht="15.75" customHeight="1">
      <c r="B538" s="34"/>
    </row>
    <row r="539" spans="2:2" ht="15.75" customHeight="1">
      <c r="B539" s="34"/>
    </row>
    <row r="540" spans="2:2" ht="15.75" customHeight="1">
      <c r="B540" s="34"/>
    </row>
    <row r="541" spans="2:2" ht="15.75" customHeight="1">
      <c r="B541" s="34"/>
    </row>
    <row r="542" spans="2:2" ht="15.75" customHeight="1">
      <c r="B542" s="34"/>
    </row>
    <row r="543" spans="2:2" ht="15.75" customHeight="1">
      <c r="B543" s="34"/>
    </row>
    <row r="544" spans="2:2" ht="15.75" customHeight="1">
      <c r="B544" s="34"/>
    </row>
    <row r="545" spans="2:2" ht="15.75" customHeight="1">
      <c r="B545" s="34"/>
    </row>
    <row r="546" spans="2:2" ht="15.75" customHeight="1">
      <c r="B546" s="34"/>
    </row>
    <row r="547" spans="2:2" ht="15.75" customHeight="1">
      <c r="B547" s="34"/>
    </row>
    <row r="548" spans="2:2" ht="15.75" customHeight="1">
      <c r="B548" s="34"/>
    </row>
    <row r="549" spans="2:2" ht="15.75" customHeight="1">
      <c r="B549" s="34"/>
    </row>
    <row r="550" spans="2:2" ht="15.75" customHeight="1">
      <c r="B550" s="34"/>
    </row>
    <row r="551" spans="2:2" ht="15.75" customHeight="1">
      <c r="B551" s="34"/>
    </row>
    <row r="552" spans="2:2" ht="15.75" customHeight="1">
      <c r="B552" s="34"/>
    </row>
    <row r="553" spans="2:2" ht="15.75" customHeight="1">
      <c r="B553" s="34"/>
    </row>
    <row r="554" spans="2:2" ht="15.75" customHeight="1">
      <c r="B554" s="34"/>
    </row>
    <row r="555" spans="2:2" ht="15.75" customHeight="1">
      <c r="B555" s="34"/>
    </row>
    <row r="556" spans="2:2" ht="15.75" customHeight="1">
      <c r="B556" s="34"/>
    </row>
    <row r="557" spans="2:2" ht="15.75" customHeight="1">
      <c r="B557" s="34"/>
    </row>
    <row r="558" spans="2:2" ht="15.75" customHeight="1">
      <c r="B558" s="34"/>
    </row>
    <row r="559" spans="2:2" ht="15.75" customHeight="1">
      <c r="B559" s="34"/>
    </row>
    <row r="560" spans="2:2" ht="15.75" customHeight="1">
      <c r="B560" s="34"/>
    </row>
    <row r="561" spans="2:2" ht="15.75" customHeight="1">
      <c r="B561" s="34"/>
    </row>
    <row r="562" spans="2:2" ht="15.75" customHeight="1">
      <c r="B562" s="34"/>
    </row>
    <row r="563" spans="2:2" ht="15.75" customHeight="1">
      <c r="B563" s="34"/>
    </row>
    <row r="564" spans="2:2" ht="15.75" customHeight="1">
      <c r="B564" s="34"/>
    </row>
    <row r="565" spans="2:2" ht="15.75" customHeight="1">
      <c r="B565" s="34"/>
    </row>
    <row r="566" spans="2:2" ht="15.75" customHeight="1">
      <c r="B566" s="34"/>
    </row>
    <row r="567" spans="2:2" ht="15.75" customHeight="1">
      <c r="B567" s="34"/>
    </row>
    <row r="568" spans="2:2" ht="15.75" customHeight="1">
      <c r="B568" s="34"/>
    </row>
    <row r="569" spans="2:2" ht="15.75" customHeight="1">
      <c r="B569" s="34"/>
    </row>
    <row r="570" spans="2:2" ht="15.75" customHeight="1">
      <c r="B570" s="34"/>
    </row>
    <row r="571" spans="2:2" ht="15.75" customHeight="1">
      <c r="B571" s="34"/>
    </row>
    <row r="572" spans="2:2" ht="15.75" customHeight="1">
      <c r="B572" s="34"/>
    </row>
    <row r="573" spans="2:2" ht="15.75" customHeight="1">
      <c r="B573" s="34"/>
    </row>
    <row r="574" spans="2:2" ht="15.75" customHeight="1">
      <c r="B574" s="34"/>
    </row>
    <row r="575" spans="2:2" ht="15.75" customHeight="1">
      <c r="B575" s="34"/>
    </row>
    <row r="576" spans="2:2" ht="15.75" customHeight="1">
      <c r="B576" s="34"/>
    </row>
    <row r="577" spans="2:2" ht="15.75" customHeight="1">
      <c r="B577" s="34"/>
    </row>
    <row r="578" spans="2:2" ht="15.75" customHeight="1">
      <c r="B578" s="34"/>
    </row>
    <row r="579" spans="2:2" ht="15.75" customHeight="1">
      <c r="B579" s="34"/>
    </row>
    <row r="580" spans="2:2" ht="15.75" customHeight="1">
      <c r="B580" s="34"/>
    </row>
    <row r="581" spans="2:2" ht="15.75" customHeight="1">
      <c r="B581" s="34"/>
    </row>
    <row r="582" spans="2:2" ht="15.75" customHeight="1">
      <c r="B582" s="34"/>
    </row>
    <row r="583" spans="2:2" ht="15.75" customHeight="1">
      <c r="B583" s="34"/>
    </row>
    <row r="584" spans="2:2" ht="15.75" customHeight="1">
      <c r="B584" s="34"/>
    </row>
    <row r="585" spans="2:2" ht="15.75" customHeight="1">
      <c r="B585" s="34"/>
    </row>
    <row r="586" spans="2:2" ht="15.75" customHeight="1">
      <c r="B586" s="34"/>
    </row>
    <row r="587" spans="2:2" ht="15.75" customHeight="1">
      <c r="B587" s="34"/>
    </row>
    <row r="588" spans="2:2" ht="15.75" customHeight="1">
      <c r="B588" s="34"/>
    </row>
    <row r="589" spans="2:2" ht="15.75" customHeight="1">
      <c r="B589" s="34"/>
    </row>
    <row r="590" spans="2:2" ht="15.75" customHeight="1">
      <c r="B590" s="34"/>
    </row>
    <row r="591" spans="2:2" ht="15.75" customHeight="1">
      <c r="B591" s="34"/>
    </row>
    <row r="592" spans="2:2" ht="15.75" customHeight="1">
      <c r="B592" s="34"/>
    </row>
    <row r="593" spans="2:2" ht="15.75" customHeight="1">
      <c r="B593" s="34"/>
    </row>
    <row r="594" spans="2:2" ht="15.75" customHeight="1">
      <c r="B594" s="34"/>
    </row>
    <row r="595" spans="2:2" ht="15.75" customHeight="1">
      <c r="B595" s="34"/>
    </row>
    <row r="596" spans="2:2" ht="15.75" customHeight="1">
      <c r="B596" s="34"/>
    </row>
    <row r="597" spans="2:2" ht="15.75" customHeight="1">
      <c r="B597" s="34"/>
    </row>
    <row r="598" spans="2:2" ht="15.75" customHeight="1">
      <c r="B598" s="34"/>
    </row>
    <row r="599" spans="2:2" ht="15.75" customHeight="1">
      <c r="B599" s="34"/>
    </row>
    <row r="600" spans="2:2" ht="15.75" customHeight="1">
      <c r="B600" s="34"/>
    </row>
    <row r="601" spans="2:2" ht="15.75" customHeight="1">
      <c r="B601" s="34"/>
    </row>
    <row r="602" spans="2:2" ht="15.75" customHeight="1">
      <c r="B602" s="34"/>
    </row>
    <row r="603" spans="2:2" ht="15.75" customHeight="1">
      <c r="B603" s="34"/>
    </row>
    <row r="604" spans="2:2" ht="15.75" customHeight="1">
      <c r="B604" s="34"/>
    </row>
    <row r="605" spans="2:2" ht="15.75" customHeight="1">
      <c r="B605" s="34"/>
    </row>
    <row r="606" spans="2:2" ht="15.75" customHeight="1">
      <c r="B606" s="34"/>
    </row>
    <row r="607" spans="2:2" ht="15.75" customHeight="1">
      <c r="B607" s="34"/>
    </row>
    <row r="608" spans="2:2" ht="15.75" customHeight="1">
      <c r="B608" s="34"/>
    </row>
    <row r="609" spans="2:2" ht="15.75" customHeight="1">
      <c r="B609" s="34"/>
    </row>
    <row r="610" spans="2:2" ht="15.75" customHeight="1">
      <c r="B610" s="34"/>
    </row>
    <row r="611" spans="2:2" ht="15.75" customHeight="1">
      <c r="B611" s="34"/>
    </row>
    <row r="612" spans="2:2" ht="15.75" customHeight="1">
      <c r="B612" s="34"/>
    </row>
    <row r="613" spans="2:2" ht="15.75" customHeight="1">
      <c r="B613" s="34"/>
    </row>
    <row r="614" spans="2:2" ht="15.75" customHeight="1">
      <c r="B614" s="34"/>
    </row>
    <row r="615" spans="2:2" ht="15.75" customHeight="1">
      <c r="B615" s="34"/>
    </row>
    <row r="616" spans="2:2" ht="15.75" customHeight="1">
      <c r="B616" s="34"/>
    </row>
    <row r="617" spans="2:2" ht="15.75" customHeight="1">
      <c r="B617" s="34"/>
    </row>
    <row r="618" spans="2:2" ht="15.75" customHeight="1">
      <c r="B618" s="34"/>
    </row>
    <row r="619" spans="2:2" ht="15.75" customHeight="1">
      <c r="B619" s="34"/>
    </row>
    <row r="620" spans="2:2" ht="15.75" customHeight="1">
      <c r="B620" s="34"/>
    </row>
    <row r="621" spans="2:2" ht="15.75" customHeight="1">
      <c r="B621" s="34"/>
    </row>
    <row r="622" spans="2:2" ht="15.75" customHeight="1">
      <c r="B622" s="34"/>
    </row>
    <row r="623" spans="2:2" ht="15.75" customHeight="1">
      <c r="B623" s="34"/>
    </row>
    <row r="624" spans="2:2" ht="15.75" customHeight="1">
      <c r="B624" s="34"/>
    </row>
    <row r="625" spans="2:2" ht="15.75" customHeight="1">
      <c r="B625" s="34"/>
    </row>
    <row r="626" spans="2:2" ht="15.75" customHeight="1">
      <c r="B626" s="34"/>
    </row>
    <row r="627" spans="2:2" ht="15.75" customHeight="1">
      <c r="B627" s="34"/>
    </row>
    <row r="628" spans="2:2" ht="15.75" customHeight="1">
      <c r="B628" s="34"/>
    </row>
    <row r="629" spans="2:2" ht="15.75" customHeight="1">
      <c r="B629" s="34"/>
    </row>
    <row r="630" spans="2:2" ht="15.75" customHeight="1">
      <c r="B630" s="34"/>
    </row>
    <row r="631" spans="2:2" ht="15.75" customHeight="1">
      <c r="B631" s="34"/>
    </row>
    <row r="632" spans="2:2" ht="15.75" customHeight="1">
      <c r="B632" s="34"/>
    </row>
    <row r="633" spans="2:2" ht="15.75" customHeight="1">
      <c r="B633" s="34"/>
    </row>
    <row r="634" spans="2:2" ht="15.75" customHeight="1">
      <c r="B634" s="34"/>
    </row>
    <row r="635" spans="2:2" ht="15.75" customHeight="1">
      <c r="B635" s="34"/>
    </row>
    <row r="636" spans="2:2" ht="15.75" customHeight="1">
      <c r="B636" s="34"/>
    </row>
    <row r="637" spans="2:2" ht="15.75" customHeight="1">
      <c r="B637" s="34"/>
    </row>
    <row r="638" spans="2:2" ht="15.75" customHeight="1">
      <c r="B638" s="34"/>
    </row>
    <row r="639" spans="2:2" ht="15.75" customHeight="1">
      <c r="B639" s="34"/>
    </row>
    <row r="640" spans="2:2" ht="15.75" customHeight="1">
      <c r="B640" s="34"/>
    </row>
    <row r="641" spans="2:2" ht="15.75" customHeight="1">
      <c r="B641" s="34"/>
    </row>
    <row r="642" spans="2:2" ht="15.75" customHeight="1">
      <c r="B642" s="34"/>
    </row>
    <row r="643" spans="2:2" ht="15.75" customHeight="1">
      <c r="B643" s="34"/>
    </row>
    <row r="644" spans="2:2" ht="15.75" customHeight="1">
      <c r="B644" s="34"/>
    </row>
    <row r="645" spans="2:2" ht="15.75" customHeight="1">
      <c r="B645" s="34"/>
    </row>
    <row r="646" spans="2:2" ht="15.75" customHeight="1">
      <c r="B646" s="34"/>
    </row>
    <row r="647" spans="2:2" ht="15.75" customHeight="1">
      <c r="B647" s="34"/>
    </row>
    <row r="648" spans="2:2" ht="15.75" customHeight="1">
      <c r="B648" s="34"/>
    </row>
    <row r="649" spans="2:2" ht="15.75" customHeight="1">
      <c r="B649" s="34"/>
    </row>
    <row r="650" spans="2:2" ht="15.75" customHeight="1">
      <c r="B650" s="34"/>
    </row>
    <row r="651" spans="2:2" ht="15.75" customHeight="1">
      <c r="B651" s="34"/>
    </row>
    <row r="652" spans="2:2" ht="15.75" customHeight="1">
      <c r="B652" s="34"/>
    </row>
    <row r="653" spans="2:2" ht="15.75" customHeight="1">
      <c r="B653" s="34"/>
    </row>
    <row r="654" spans="2:2" ht="15.75" customHeight="1">
      <c r="B654" s="34"/>
    </row>
    <row r="655" spans="2:2" ht="15.75" customHeight="1">
      <c r="B655" s="34"/>
    </row>
    <row r="656" spans="2:2" ht="15.75" customHeight="1">
      <c r="B656" s="34"/>
    </row>
    <row r="657" spans="2:2" ht="15.75" customHeight="1">
      <c r="B657" s="34"/>
    </row>
    <row r="658" spans="2:2" ht="15.75" customHeight="1">
      <c r="B658" s="34"/>
    </row>
    <row r="659" spans="2:2" ht="15.75" customHeight="1">
      <c r="B659" s="34"/>
    </row>
    <row r="660" spans="2:2" ht="15.75" customHeight="1">
      <c r="B660" s="34"/>
    </row>
    <row r="661" spans="2:2" ht="15.75" customHeight="1">
      <c r="B661" s="34"/>
    </row>
    <row r="662" spans="2:2" ht="15.75" customHeight="1">
      <c r="B662" s="34"/>
    </row>
    <row r="663" spans="2:2" ht="15.75" customHeight="1">
      <c r="B663" s="34"/>
    </row>
    <row r="664" spans="2:2" ht="15.75" customHeight="1">
      <c r="B664" s="34"/>
    </row>
    <row r="665" spans="2:2" ht="15.75" customHeight="1">
      <c r="B665" s="34"/>
    </row>
    <row r="666" spans="2:2" ht="15.75" customHeight="1">
      <c r="B666" s="34"/>
    </row>
    <row r="667" spans="2:2" ht="15.75" customHeight="1">
      <c r="B667" s="34"/>
    </row>
    <row r="668" spans="2:2" ht="15.75" customHeight="1">
      <c r="B668" s="34"/>
    </row>
    <row r="669" spans="2:2" ht="15.75" customHeight="1">
      <c r="B669" s="34"/>
    </row>
    <row r="670" spans="2:2" ht="15.75" customHeight="1">
      <c r="B670" s="34"/>
    </row>
    <row r="671" spans="2:2" ht="15.75" customHeight="1">
      <c r="B671" s="34"/>
    </row>
    <row r="672" spans="2:2" ht="15.75" customHeight="1">
      <c r="B672" s="34"/>
    </row>
    <row r="673" spans="2:2" ht="15.75" customHeight="1">
      <c r="B673" s="34"/>
    </row>
    <row r="674" spans="2:2" ht="15.75" customHeight="1">
      <c r="B674" s="34"/>
    </row>
    <row r="675" spans="2:2" ht="15.75" customHeight="1">
      <c r="B675" s="34"/>
    </row>
    <row r="676" spans="2:2" ht="15.75" customHeight="1">
      <c r="B676" s="34"/>
    </row>
    <row r="677" spans="2:2" ht="15.75" customHeight="1">
      <c r="B677" s="34"/>
    </row>
    <row r="678" spans="2:2" ht="15.75" customHeight="1">
      <c r="B678" s="34"/>
    </row>
    <row r="679" spans="2:2" ht="15.75" customHeight="1">
      <c r="B679" s="34"/>
    </row>
    <row r="680" spans="2:2" ht="15.75" customHeight="1">
      <c r="B680" s="34"/>
    </row>
    <row r="681" spans="2:2" ht="15.75" customHeight="1">
      <c r="B681" s="34"/>
    </row>
    <row r="682" spans="2:2" ht="15.75" customHeight="1">
      <c r="B682" s="34"/>
    </row>
    <row r="683" spans="2:2" ht="15.75" customHeight="1">
      <c r="B683" s="34"/>
    </row>
    <row r="684" spans="2:2" ht="15.75" customHeight="1">
      <c r="B684" s="34"/>
    </row>
    <row r="685" spans="2:2" ht="15.75" customHeight="1">
      <c r="B685" s="34"/>
    </row>
    <row r="686" spans="2:2" ht="15.75" customHeight="1">
      <c r="B686" s="34"/>
    </row>
    <row r="687" spans="2:2" ht="15.75" customHeight="1">
      <c r="B687" s="34"/>
    </row>
    <row r="688" spans="2:2" ht="15.75" customHeight="1">
      <c r="B688" s="34"/>
    </row>
    <row r="689" spans="2:2" ht="15.75" customHeight="1">
      <c r="B689" s="34"/>
    </row>
    <row r="690" spans="2:2" ht="15.75" customHeight="1">
      <c r="B690" s="34"/>
    </row>
    <row r="691" spans="2:2" ht="15.75" customHeight="1">
      <c r="B691" s="34"/>
    </row>
    <row r="692" spans="2:2" ht="15.75" customHeight="1">
      <c r="B692" s="34"/>
    </row>
    <row r="693" spans="2:2" ht="15.75" customHeight="1">
      <c r="B693" s="34"/>
    </row>
    <row r="694" spans="2:2" ht="15.75" customHeight="1">
      <c r="B694" s="34"/>
    </row>
    <row r="695" spans="2:2" ht="15.75" customHeight="1">
      <c r="B695" s="34"/>
    </row>
    <row r="696" spans="2:2" ht="15.75" customHeight="1">
      <c r="B696" s="34"/>
    </row>
    <row r="697" spans="2:2" ht="15.75" customHeight="1">
      <c r="B697" s="34"/>
    </row>
    <row r="698" spans="2:2" ht="15.75" customHeight="1">
      <c r="B698" s="34"/>
    </row>
    <row r="699" spans="2:2" ht="15.75" customHeight="1">
      <c r="B699" s="34"/>
    </row>
    <row r="700" spans="2:2" ht="15.75" customHeight="1">
      <c r="B700" s="34"/>
    </row>
    <row r="701" spans="2:2" ht="15.75" customHeight="1">
      <c r="B701" s="34"/>
    </row>
    <row r="702" spans="2:2" ht="15.75" customHeight="1">
      <c r="B702" s="34"/>
    </row>
    <row r="703" spans="2:2" ht="15.75" customHeight="1">
      <c r="B703" s="34"/>
    </row>
    <row r="704" spans="2:2" ht="15.75" customHeight="1">
      <c r="B704" s="34"/>
    </row>
    <row r="705" spans="2:2" ht="15.75" customHeight="1">
      <c r="B705" s="34"/>
    </row>
    <row r="706" spans="2:2" ht="15.75" customHeight="1">
      <c r="B706" s="34"/>
    </row>
    <row r="707" spans="2:2" ht="15.75" customHeight="1">
      <c r="B707" s="34"/>
    </row>
    <row r="708" spans="2:2" ht="15.75" customHeight="1">
      <c r="B708" s="34"/>
    </row>
    <row r="709" spans="2:2" ht="15.75" customHeight="1">
      <c r="B709" s="34"/>
    </row>
    <row r="710" spans="2:2" ht="15.75" customHeight="1">
      <c r="B710" s="34"/>
    </row>
    <row r="711" spans="2:2" ht="15.75" customHeight="1">
      <c r="B711" s="34"/>
    </row>
    <row r="712" spans="2:2" ht="15.75" customHeight="1">
      <c r="B712" s="34"/>
    </row>
    <row r="713" spans="2:2" ht="15.75" customHeight="1">
      <c r="B713" s="34"/>
    </row>
    <row r="714" spans="2:2" ht="15.75" customHeight="1">
      <c r="B714" s="34"/>
    </row>
    <row r="715" spans="2:2" ht="15.75" customHeight="1">
      <c r="B715" s="34"/>
    </row>
    <row r="716" spans="2:2" ht="15.75" customHeight="1">
      <c r="B716" s="34"/>
    </row>
    <row r="717" spans="2:2" ht="15.75" customHeight="1">
      <c r="B717" s="34"/>
    </row>
    <row r="718" spans="2:2" ht="15.75" customHeight="1">
      <c r="B718" s="34"/>
    </row>
    <row r="719" spans="2:2" ht="15.75" customHeight="1">
      <c r="B719" s="34"/>
    </row>
    <row r="720" spans="2:2" ht="15.75" customHeight="1">
      <c r="B720" s="34"/>
    </row>
    <row r="721" spans="2:2" ht="15.75" customHeight="1">
      <c r="B721" s="34"/>
    </row>
    <row r="722" spans="2:2" ht="15.75" customHeight="1">
      <c r="B722" s="34"/>
    </row>
    <row r="723" spans="2:2" ht="15.75" customHeight="1">
      <c r="B723" s="34"/>
    </row>
    <row r="724" spans="2:2" ht="15.75" customHeight="1">
      <c r="B724" s="34"/>
    </row>
    <row r="725" spans="2:2" ht="15.75" customHeight="1">
      <c r="B725" s="34"/>
    </row>
    <row r="726" spans="2:2" ht="15.75" customHeight="1">
      <c r="B726" s="34"/>
    </row>
    <row r="727" spans="2:2" ht="15.75" customHeight="1">
      <c r="B727" s="34"/>
    </row>
    <row r="728" spans="2:2" ht="15.75" customHeight="1">
      <c r="B728" s="34"/>
    </row>
    <row r="729" spans="2:2" ht="15.75" customHeight="1">
      <c r="B729" s="34"/>
    </row>
    <row r="730" spans="2:2" ht="15.75" customHeight="1">
      <c r="B730" s="34"/>
    </row>
    <row r="731" spans="2:2" ht="15.75" customHeight="1">
      <c r="B731" s="34"/>
    </row>
    <row r="732" spans="2:2" ht="15.75" customHeight="1">
      <c r="B732" s="34"/>
    </row>
    <row r="733" spans="2:2" ht="15.75" customHeight="1">
      <c r="B733" s="34"/>
    </row>
    <row r="734" spans="2:2" ht="15.75" customHeight="1">
      <c r="B734" s="34"/>
    </row>
    <row r="735" spans="2:2" ht="15.75" customHeight="1">
      <c r="B735" s="34"/>
    </row>
    <row r="736" spans="2:2" ht="15.75" customHeight="1">
      <c r="B736" s="34"/>
    </row>
    <row r="737" spans="2:2" ht="15.75" customHeight="1">
      <c r="B737" s="34"/>
    </row>
    <row r="738" spans="2:2" ht="15.75" customHeight="1">
      <c r="B738" s="34"/>
    </row>
    <row r="739" spans="2:2" ht="15.75" customHeight="1">
      <c r="B739" s="34"/>
    </row>
    <row r="740" spans="2:2" ht="15.75" customHeight="1">
      <c r="B740" s="34"/>
    </row>
    <row r="741" spans="2:2" ht="15.75" customHeight="1">
      <c r="B741" s="34"/>
    </row>
    <row r="742" spans="2:2" ht="15.75" customHeight="1">
      <c r="B742" s="34"/>
    </row>
    <row r="743" spans="2:2" ht="15.75" customHeight="1">
      <c r="B743" s="34"/>
    </row>
    <row r="744" spans="2:2" ht="15.75" customHeight="1">
      <c r="B744" s="34"/>
    </row>
    <row r="745" spans="2:2" ht="15.75" customHeight="1">
      <c r="B745" s="34"/>
    </row>
    <row r="746" spans="2:2" ht="15.75" customHeight="1">
      <c r="B746" s="34"/>
    </row>
    <row r="747" spans="2:2" ht="15.75" customHeight="1">
      <c r="B747" s="34"/>
    </row>
    <row r="748" spans="2:2" ht="15.75" customHeight="1">
      <c r="B748" s="34"/>
    </row>
    <row r="749" spans="2:2" ht="15.75" customHeight="1">
      <c r="B749" s="34"/>
    </row>
    <row r="750" spans="2:2" ht="15.75" customHeight="1">
      <c r="B750" s="34"/>
    </row>
    <row r="751" spans="2:2" ht="15.75" customHeight="1">
      <c r="B751" s="34"/>
    </row>
    <row r="752" spans="2:2" ht="15.75" customHeight="1">
      <c r="B752" s="34"/>
    </row>
    <row r="753" spans="2:2" ht="15.75" customHeight="1">
      <c r="B753" s="34"/>
    </row>
    <row r="754" spans="2:2" ht="15.75" customHeight="1">
      <c r="B754" s="34"/>
    </row>
    <row r="755" spans="2:2" ht="15.75" customHeight="1">
      <c r="B755" s="34"/>
    </row>
    <row r="756" spans="2:2" ht="15.75" customHeight="1">
      <c r="B756" s="34"/>
    </row>
    <row r="757" spans="2:2" ht="15.75" customHeight="1">
      <c r="B757" s="34"/>
    </row>
    <row r="758" spans="2:2" ht="15.75" customHeight="1">
      <c r="B758" s="34"/>
    </row>
    <row r="759" spans="2:2" ht="15.75" customHeight="1">
      <c r="B759" s="34"/>
    </row>
    <row r="760" spans="2:2" ht="15.75" customHeight="1">
      <c r="B760" s="34"/>
    </row>
    <row r="761" spans="2:2" ht="15.75" customHeight="1">
      <c r="B761" s="34"/>
    </row>
    <row r="762" spans="2:2" ht="15.75" customHeight="1">
      <c r="B762" s="34"/>
    </row>
    <row r="763" spans="2:2" ht="15.75" customHeight="1">
      <c r="B763" s="34"/>
    </row>
    <row r="764" spans="2:2" ht="15.75" customHeight="1">
      <c r="B764" s="34"/>
    </row>
    <row r="765" spans="2:2" ht="15.75" customHeight="1">
      <c r="B765" s="34"/>
    </row>
    <row r="766" spans="2:2" ht="15.75" customHeight="1">
      <c r="B766" s="34"/>
    </row>
    <row r="767" spans="2:2" ht="15.75" customHeight="1">
      <c r="B767" s="34"/>
    </row>
    <row r="768" spans="2:2" ht="15.75" customHeight="1">
      <c r="B768" s="34"/>
    </row>
    <row r="769" spans="2:2" ht="15.75" customHeight="1">
      <c r="B769" s="34"/>
    </row>
    <row r="770" spans="2:2" ht="15.75" customHeight="1">
      <c r="B770" s="34"/>
    </row>
    <row r="771" spans="2:2" ht="15.75" customHeight="1">
      <c r="B771" s="34"/>
    </row>
    <row r="772" spans="2:2" ht="15.75" customHeight="1">
      <c r="B772" s="34"/>
    </row>
    <row r="773" spans="2:2" ht="15.75" customHeight="1">
      <c r="B773" s="34"/>
    </row>
    <row r="774" spans="2:2" ht="15.75" customHeight="1">
      <c r="B774" s="34"/>
    </row>
    <row r="775" spans="2:2" ht="15.75" customHeight="1">
      <c r="B775" s="34"/>
    </row>
    <row r="776" spans="2:2" ht="15.75" customHeight="1">
      <c r="B776" s="34"/>
    </row>
    <row r="777" spans="2:2" ht="15.75" customHeight="1">
      <c r="B777" s="34"/>
    </row>
    <row r="778" spans="2:2" ht="15.75" customHeight="1">
      <c r="B778" s="34"/>
    </row>
    <row r="779" spans="2:2" ht="15.75" customHeight="1">
      <c r="B779" s="34"/>
    </row>
    <row r="780" spans="2:2" ht="15.75" customHeight="1">
      <c r="B780" s="34"/>
    </row>
    <row r="781" spans="2:2" ht="15.75" customHeight="1">
      <c r="B781" s="34"/>
    </row>
    <row r="782" spans="2:2" ht="15.75" customHeight="1">
      <c r="B782" s="34"/>
    </row>
    <row r="783" spans="2:2" ht="15.75" customHeight="1">
      <c r="B783" s="34"/>
    </row>
    <row r="784" spans="2:2" ht="15.75" customHeight="1">
      <c r="B784" s="34"/>
    </row>
    <row r="785" spans="2:2" ht="15.75" customHeight="1">
      <c r="B785" s="34"/>
    </row>
    <row r="786" spans="2:2" ht="15.75" customHeight="1">
      <c r="B786" s="34"/>
    </row>
    <row r="787" spans="2:2" ht="15.75" customHeight="1">
      <c r="B787" s="34"/>
    </row>
    <row r="788" spans="2:2" ht="15.75" customHeight="1">
      <c r="B788" s="34"/>
    </row>
    <row r="789" spans="2:2" ht="15.75" customHeight="1">
      <c r="B789" s="34"/>
    </row>
    <row r="790" spans="2:2" ht="15.75" customHeight="1">
      <c r="B790" s="34"/>
    </row>
    <row r="791" spans="2:2" ht="15.75" customHeight="1">
      <c r="B791" s="34"/>
    </row>
    <row r="792" spans="2:2" ht="15.75" customHeight="1">
      <c r="B792" s="34"/>
    </row>
    <row r="793" spans="2:2" ht="15.75" customHeight="1">
      <c r="B793" s="34"/>
    </row>
    <row r="794" spans="2:2" ht="15.75" customHeight="1">
      <c r="B794" s="34"/>
    </row>
    <row r="795" spans="2:2" ht="15.75" customHeight="1">
      <c r="B795" s="34"/>
    </row>
    <row r="796" spans="2:2" ht="15.75" customHeight="1">
      <c r="B796" s="34"/>
    </row>
    <row r="797" spans="2:2" ht="15.75" customHeight="1">
      <c r="B797" s="34"/>
    </row>
    <row r="798" spans="2:2" ht="15.75" customHeight="1">
      <c r="B798" s="34"/>
    </row>
    <row r="799" spans="2:2" ht="15.75" customHeight="1">
      <c r="B799" s="34"/>
    </row>
    <row r="800" spans="2:2" ht="15.75" customHeight="1">
      <c r="B800" s="34"/>
    </row>
    <row r="801" spans="2:2" ht="15.75" customHeight="1">
      <c r="B801" s="34"/>
    </row>
    <row r="802" spans="2:2" ht="15.75" customHeight="1">
      <c r="B802" s="34"/>
    </row>
    <row r="803" spans="2:2" ht="15.75" customHeight="1">
      <c r="B803" s="34"/>
    </row>
    <row r="804" spans="2:2" ht="15.75" customHeight="1">
      <c r="B804" s="34"/>
    </row>
    <row r="805" spans="2:2" ht="15.75" customHeight="1">
      <c r="B805" s="34"/>
    </row>
    <row r="806" spans="2:2" ht="15.75" customHeight="1">
      <c r="B806" s="34"/>
    </row>
    <row r="807" spans="2:2" ht="15.75" customHeight="1">
      <c r="B807" s="34"/>
    </row>
    <row r="808" spans="2:2" ht="15.75" customHeight="1">
      <c r="B808" s="34"/>
    </row>
    <row r="809" spans="2:2" ht="15.75" customHeight="1">
      <c r="B809" s="34"/>
    </row>
    <row r="810" spans="2:2" ht="15.75" customHeight="1">
      <c r="B810" s="34"/>
    </row>
    <row r="811" spans="2:2" ht="15.75" customHeight="1">
      <c r="B811" s="34"/>
    </row>
    <row r="812" spans="2:2" ht="15.75" customHeight="1">
      <c r="B812" s="34"/>
    </row>
    <row r="813" spans="2:2" ht="15.75" customHeight="1">
      <c r="B813" s="34"/>
    </row>
    <row r="814" spans="2:2" ht="15.75" customHeight="1">
      <c r="B814" s="34"/>
    </row>
    <row r="815" spans="2:2" ht="15.75" customHeight="1">
      <c r="B815" s="34"/>
    </row>
    <row r="816" spans="2:2" ht="15.75" customHeight="1">
      <c r="B816" s="34"/>
    </row>
    <row r="817" spans="2:2" ht="15.75" customHeight="1">
      <c r="B817" s="34"/>
    </row>
    <row r="818" spans="2:2" ht="15.75" customHeight="1">
      <c r="B818" s="34"/>
    </row>
    <row r="819" spans="2:2" ht="15.75" customHeight="1">
      <c r="B819" s="34"/>
    </row>
    <row r="820" spans="2:2" ht="15.75" customHeight="1">
      <c r="B820" s="34"/>
    </row>
    <row r="821" spans="2:2" ht="15.75" customHeight="1">
      <c r="B821" s="34"/>
    </row>
    <row r="822" spans="2:2" ht="15.75" customHeight="1">
      <c r="B822" s="34"/>
    </row>
    <row r="823" spans="2:2" ht="15.75" customHeight="1">
      <c r="B823" s="34"/>
    </row>
    <row r="824" spans="2:2" ht="15.75" customHeight="1">
      <c r="B824" s="34"/>
    </row>
    <row r="825" spans="2:2" ht="15.75" customHeight="1">
      <c r="B825" s="34"/>
    </row>
    <row r="826" spans="2:2" ht="15.75" customHeight="1">
      <c r="B826" s="34"/>
    </row>
    <row r="827" spans="2:2" ht="15.75" customHeight="1">
      <c r="B827" s="34"/>
    </row>
    <row r="828" spans="2:2" ht="15.75" customHeight="1">
      <c r="B828" s="34"/>
    </row>
    <row r="829" spans="2:2" ht="15.75" customHeight="1">
      <c r="B829" s="34"/>
    </row>
    <row r="830" spans="2:2" ht="15.75" customHeight="1">
      <c r="B830" s="34"/>
    </row>
    <row r="831" spans="2:2" ht="15.75" customHeight="1">
      <c r="B831" s="34"/>
    </row>
    <row r="832" spans="2:2" ht="15.75" customHeight="1">
      <c r="B832" s="34"/>
    </row>
    <row r="833" spans="2:2" ht="15.75" customHeight="1">
      <c r="B833" s="34"/>
    </row>
    <row r="834" spans="2:2" ht="15.75" customHeight="1">
      <c r="B834" s="34"/>
    </row>
    <row r="835" spans="2:2" ht="15.75" customHeight="1">
      <c r="B835" s="34"/>
    </row>
    <row r="836" spans="2:2" ht="15.75" customHeight="1">
      <c r="B836" s="34"/>
    </row>
    <row r="837" spans="2:2" ht="15.75" customHeight="1">
      <c r="B837" s="34"/>
    </row>
    <row r="838" spans="2:2" ht="15.75" customHeight="1">
      <c r="B838" s="34"/>
    </row>
    <row r="839" spans="2:2" ht="15.75" customHeight="1">
      <c r="B839" s="34"/>
    </row>
    <row r="840" spans="2:2" ht="15.75" customHeight="1">
      <c r="B840" s="34"/>
    </row>
    <row r="841" spans="2:2" ht="15.75" customHeight="1">
      <c r="B841" s="34"/>
    </row>
    <row r="842" spans="2:2" ht="15.75" customHeight="1">
      <c r="B842" s="34"/>
    </row>
    <row r="843" spans="2:2" ht="15.75" customHeight="1">
      <c r="B843" s="34"/>
    </row>
    <row r="844" spans="2:2" ht="15.75" customHeight="1">
      <c r="B844" s="34"/>
    </row>
    <row r="845" spans="2:2" ht="15.75" customHeight="1">
      <c r="B845" s="34"/>
    </row>
    <row r="846" spans="2:2" ht="15.75" customHeight="1">
      <c r="B846" s="34"/>
    </row>
    <row r="847" spans="2:2" ht="15.75" customHeight="1">
      <c r="B847" s="34"/>
    </row>
    <row r="848" spans="2:2" ht="15.75" customHeight="1">
      <c r="B848" s="34"/>
    </row>
    <row r="849" spans="2:2" ht="15.75" customHeight="1">
      <c r="B849" s="34"/>
    </row>
    <row r="850" spans="2:2" ht="15.75" customHeight="1">
      <c r="B850" s="34"/>
    </row>
    <row r="851" spans="2:2" ht="15.75" customHeight="1">
      <c r="B851" s="34"/>
    </row>
    <row r="852" spans="2:2" ht="15.75" customHeight="1">
      <c r="B852" s="34"/>
    </row>
    <row r="853" spans="2:2" ht="15.75" customHeight="1">
      <c r="B853" s="34"/>
    </row>
    <row r="854" spans="2:2" ht="15.75" customHeight="1">
      <c r="B854" s="34"/>
    </row>
    <row r="855" spans="2:2" ht="15.75" customHeight="1">
      <c r="B855" s="34"/>
    </row>
    <row r="856" spans="2:2" ht="15.75" customHeight="1">
      <c r="B856" s="34"/>
    </row>
    <row r="857" spans="2:2" ht="15.75" customHeight="1">
      <c r="B857" s="34"/>
    </row>
    <row r="858" spans="2:2" ht="15.75" customHeight="1">
      <c r="B858" s="34"/>
    </row>
    <row r="859" spans="2:2" ht="15.75" customHeight="1">
      <c r="B859" s="34"/>
    </row>
    <row r="860" spans="2:2" ht="15.75" customHeight="1">
      <c r="B860" s="34"/>
    </row>
    <row r="861" spans="2:2" ht="15.75" customHeight="1">
      <c r="B861" s="34"/>
    </row>
    <row r="862" spans="2:2" ht="15.75" customHeight="1">
      <c r="B862" s="34"/>
    </row>
    <row r="863" spans="2:2" ht="15.75" customHeight="1">
      <c r="B863" s="34"/>
    </row>
    <row r="864" spans="2:2" ht="15.75" customHeight="1">
      <c r="B864" s="34"/>
    </row>
    <row r="865" spans="2:2" ht="15.75" customHeight="1">
      <c r="B865" s="34"/>
    </row>
    <row r="866" spans="2:2" ht="15.75" customHeight="1">
      <c r="B866" s="34"/>
    </row>
    <row r="867" spans="2:2" ht="15.75" customHeight="1">
      <c r="B867" s="34"/>
    </row>
    <row r="868" spans="2:2" ht="15.75" customHeight="1">
      <c r="B868" s="34"/>
    </row>
    <row r="869" spans="2:2" ht="15.75" customHeight="1">
      <c r="B869" s="34"/>
    </row>
    <row r="870" spans="2:2" ht="15.75" customHeight="1">
      <c r="B870" s="34"/>
    </row>
    <row r="871" spans="2:2" ht="15.75" customHeight="1">
      <c r="B871" s="34"/>
    </row>
    <row r="872" spans="2:2" ht="15.75" customHeight="1">
      <c r="B872" s="34"/>
    </row>
    <row r="873" spans="2:2" ht="15.75" customHeight="1">
      <c r="B873" s="34"/>
    </row>
    <row r="874" spans="2:2" ht="15.75" customHeight="1">
      <c r="B874" s="34"/>
    </row>
    <row r="875" spans="2:2" ht="15.75" customHeight="1">
      <c r="B875" s="34"/>
    </row>
    <row r="876" spans="2:2" ht="15.75" customHeight="1">
      <c r="B876" s="34"/>
    </row>
    <row r="877" spans="2:2" ht="15.75" customHeight="1">
      <c r="B877" s="34"/>
    </row>
    <row r="878" spans="2:2" ht="15.75" customHeight="1">
      <c r="B878" s="34"/>
    </row>
    <row r="879" spans="2:2" ht="15.75" customHeight="1">
      <c r="B879" s="34"/>
    </row>
    <row r="880" spans="2:2" ht="15.75" customHeight="1">
      <c r="B880" s="34"/>
    </row>
    <row r="881" spans="2:2" ht="15.75" customHeight="1">
      <c r="B881" s="34"/>
    </row>
    <row r="882" spans="2:2" ht="15.75" customHeight="1">
      <c r="B882" s="34"/>
    </row>
    <row r="883" spans="2:2" ht="15.75" customHeight="1">
      <c r="B883" s="34"/>
    </row>
    <row r="884" spans="2:2" ht="15.75" customHeight="1">
      <c r="B884" s="34"/>
    </row>
    <row r="885" spans="2:2" ht="15.75" customHeight="1">
      <c r="B885" s="34"/>
    </row>
    <row r="886" spans="2:2" ht="15.75" customHeight="1">
      <c r="B886" s="34"/>
    </row>
    <row r="887" spans="2:2" ht="15.75" customHeight="1">
      <c r="B887" s="34"/>
    </row>
    <row r="888" spans="2:2" ht="15.75" customHeight="1">
      <c r="B888" s="34"/>
    </row>
    <row r="889" spans="2:2" ht="15.75" customHeight="1">
      <c r="B889" s="34"/>
    </row>
    <row r="890" spans="2:2" ht="15.75" customHeight="1">
      <c r="B890" s="34"/>
    </row>
    <row r="891" spans="2:2" ht="15.75" customHeight="1">
      <c r="B891" s="34"/>
    </row>
    <row r="892" spans="2:2" ht="15.75" customHeight="1">
      <c r="B892" s="34"/>
    </row>
    <row r="893" spans="2:2" ht="15.75" customHeight="1">
      <c r="B893" s="34"/>
    </row>
    <row r="894" spans="2:2" ht="15.75" customHeight="1">
      <c r="B894" s="34"/>
    </row>
    <row r="895" spans="2:2" ht="15.75" customHeight="1">
      <c r="B895" s="34"/>
    </row>
    <row r="896" spans="2:2" ht="15.75" customHeight="1">
      <c r="B896" s="34"/>
    </row>
    <row r="897" spans="2:2" ht="15.75" customHeight="1">
      <c r="B897" s="34"/>
    </row>
    <row r="898" spans="2:2" ht="15.75" customHeight="1">
      <c r="B898" s="34"/>
    </row>
    <row r="899" spans="2:2" ht="15.75" customHeight="1">
      <c r="B899" s="34"/>
    </row>
    <row r="900" spans="2:2" ht="15.75" customHeight="1">
      <c r="B900" s="34"/>
    </row>
    <row r="901" spans="2:2" ht="15.75" customHeight="1">
      <c r="B901" s="34"/>
    </row>
    <row r="902" spans="2:2" ht="15.75" customHeight="1">
      <c r="B902" s="34"/>
    </row>
    <row r="903" spans="2:2" ht="15.75" customHeight="1">
      <c r="B903" s="34"/>
    </row>
    <row r="904" spans="2:2" ht="15.75" customHeight="1">
      <c r="B904" s="34"/>
    </row>
    <row r="905" spans="2:2" ht="15.75" customHeight="1">
      <c r="B905" s="34"/>
    </row>
    <row r="906" spans="2:2" ht="15.75" customHeight="1">
      <c r="B906" s="34"/>
    </row>
    <row r="907" spans="2:2" ht="15.75" customHeight="1">
      <c r="B907" s="34"/>
    </row>
    <row r="908" spans="2:2" ht="15.75" customHeight="1">
      <c r="B908" s="34"/>
    </row>
    <row r="909" spans="2:2" ht="15.75" customHeight="1">
      <c r="B909" s="34"/>
    </row>
    <row r="910" spans="2:2" ht="15.75" customHeight="1">
      <c r="B910" s="34"/>
    </row>
    <row r="911" spans="2:2" ht="15.75" customHeight="1">
      <c r="B911" s="34"/>
    </row>
    <row r="912" spans="2:2" ht="15.75" customHeight="1">
      <c r="B912" s="34"/>
    </row>
    <row r="913" spans="2:2" ht="15.75" customHeight="1">
      <c r="B913" s="34"/>
    </row>
    <row r="914" spans="2:2" ht="15.75" customHeight="1">
      <c r="B914" s="34"/>
    </row>
    <row r="915" spans="2:2" ht="15.75" customHeight="1">
      <c r="B915" s="34"/>
    </row>
    <row r="916" spans="2:2" ht="15.75" customHeight="1">
      <c r="B916" s="34"/>
    </row>
    <row r="917" spans="2:2" ht="15.75" customHeight="1">
      <c r="B917" s="34"/>
    </row>
    <row r="918" spans="2:2" ht="15.75" customHeight="1">
      <c r="B918" s="34"/>
    </row>
    <row r="919" spans="2:2" ht="15.75" customHeight="1">
      <c r="B919" s="34"/>
    </row>
    <row r="920" spans="2:2" ht="15.75" customHeight="1">
      <c r="B920" s="34"/>
    </row>
    <row r="921" spans="2:2" ht="15.75" customHeight="1">
      <c r="B921" s="34"/>
    </row>
    <row r="922" spans="2:2" ht="15.75" customHeight="1">
      <c r="B922" s="34"/>
    </row>
    <row r="923" spans="2:2" ht="15.75" customHeight="1">
      <c r="B923" s="34"/>
    </row>
    <row r="924" spans="2:2" ht="15.75" customHeight="1">
      <c r="B924" s="34"/>
    </row>
    <row r="925" spans="2:2" ht="15.75" customHeight="1">
      <c r="B925" s="34"/>
    </row>
    <row r="926" spans="2:2" ht="15.75" customHeight="1">
      <c r="B926" s="34"/>
    </row>
    <row r="927" spans="2:2" ht="15.75" customHeight="1">
      <c r="B927" s="34"/>
    </row>
    <row r="928" spans="2:2" ht="15.75" customHeight="1">
      <c r="B928" s="34"/>
    </row>
    <row r="929" spans="2:2" ht="15.75" customHeight="1">
      <c r="B929" s="34"/>
    </row>
    <row r="930" spans="2:2" ht="15.75" customHeight="1">
      <c r="B930" s="34"/>
    </row>
    <row r="931" spans="2:2" ht="15.75" customHeight="1">
      <c r="B931" s="34"/>
    </row>
    <row r="932" spans="2:2" ht="15.75" customHeight="1">
      <c r="B932" s="34"/>
    </row>
    <row r="933" spans="2:2" ht="15.75" customHeight="1">
      <c r="B933" s="34"/>
    </row>
    <row r="934" spans="2:2" ht="15.75" customHeight="1">
      <c r="B934" s="34"/>
    </row>
    <row r="935" spans="2:2" ht="15.75" customHeight="1">
      <c r="B935" s="34"/>
    </row>
    <row r="936" spans="2:2" ht="15.75" customHeight="1">
      <c r="B936" s="34"/>
    </row>
    <row r="937" spans="2:2" ht="15.75" customHeight="1">
      <c r="B937" s="34"/>
    </row>
    <row r="938" spans="2:2" ht="15.75" customHeight="1">
      <c r="B938" s="34"/>
    </row>
    <row r="939" spans="2:2" ht="15.75" customHeight="1">
      <c r="B939" s="34"/>
    </row>
    <row r="940" spans="2:2" ht="15.75" customHeight="1">
      <c r="B940" s="34"/>
    </row>
    <row r="941" spans="2:2" ht="15.75" customHeight="1">
      <c r="B941" s="34"/>
    </row>
    <row r="942" spans="2:2" ht="15.75" customHeight="1">
      <c r="B942" s="34"/>
    </row>
    <row r="943" spans="2:2" ht="15.75" customHeight="1">
      <c r="B943" s="34"/>
    </row>
    <row r="944" spans="2:2" ht="15.75" customHeight="1">
      <c r="B944" s="34"/>
    </row>
    <row r="945" spans="2:2" ht="15.75" customHeight="1">
      <c r="B945" s="34"/>
    </row>
    <row r="946" spans="2:2" ht="15.75" customHeight="1">
      <c r="B946" s="34"/>
    </row>
    <row r="947" spans="2:2" ht="15.75" customHeight="1">
      <c r="B947" s="34"/>
    </row>
    <row r="948" spans="2:2" ht="15.75" customHeight="1">
      <c r="B948" s="34"/>
    </row>
    <row r="949" spans="2:2" ht="15.75" customHeight="1">
      <c r="B949" s="34"/>
    </row>
    <row r="950" spans="2:2" ht="15.75" customHeight="1">
      <c r="B950" s="34"/>
    </row>
    <row r="951" spans="2:2" ht="15.75" customHeight="1">
      <c r="B951" s="34"/>
    </row>
    <row r="952" spans="2:2" ht="15.75" customHeight="1">
      <c r="B952" s="34"/>
    </row>
    <row r="953" spans="2:2" ht="15.75" customHeight="1">
      <c r="B953" s="34"/>
    </row>
    <row r="954" spans="2:2" ht="15.75" customHeight="1">
      <c r="B954" s="34"/>
    </row>
    <row r="955" spans="2:2" ht="15.75" customHeight="1">
      <c r="B955" s="34"/>
    </row>
    <row r="956" spans="2:2" ht="15.75" customHeight="1">
      <c r="B956" s="34"/>
    </row>
    <row r="957" spans="2:2" ht="15.75" customHeight="1">
      <c r="B957" s="34"/>
    </row>
    <row r="958" spans="2:2" ht="15.75" customHeight="1">
      <c r="B958" s="34"/>
    </row>
    <row r="959" spans="2:2" ht="15.75" customHeight="1">
      <c r="B959" s="34"/>
    </row>
    <row r="960" spans="2:2" ht="15.75" customHeight="1">
      <c r="B960" s="34"/>
    </row>
    <row r="961" spans="2:2" ht="15.75" customHeight="1">
      <c r="B961" s="34"/>
    </row>
    <row r="962" spans="2:2" ht="15.75" customHeight="1">
      <c r="B962" s="34"/>
    </row>
    <row r="963" spans="2:2" ht="15.75" customHeight="1">
      <c r="B963" s="34"/>
    </row>
    <row r="964" spans="2:2" ht="15.75" customHeight="1">
      <c r="B964" s="34"/>
    </row>
    <row r="965" spans="2:2" ht="15.75" customHeight="1">
      <c r="B965" s="34"/>
    </row>
    <row r="966" spans="2:2" ht="15.75" customHeight="1">
      <c r="B966" s="34"/>
    </row>
    <row r="967" spans="2:2" ht="15.75" customHeight="1">
      <c r="B967" s="34"/>
    </row>
    <row r="968" spans="2:2" ht="15.75" customHeight="1">
      <c r="B968" s="34"/>
    </row>
    <row r="969" spans="2:2" ht="15.75" customHeight="1">
      <c r="B969" s="34"/>
    </row>
    <row r="970" spans="2:2" ht="15.75" customHeight="1">
      <c r="B970" s="34"/>
    </row>
    <row r="971" spans="2:2" ht="15.75" customHeight="1">
      <c r="B971" s="34"/>
    </row>
    <row r="972" spans="2:2" ht="15.75" customHeight="1">
      <c r="B972" s="34"/>
    </row>
    <row r="973" spans="2:2" ht="15.75" customHeight="1">
      <c r="B973" s="34"/>
    </row>
    <row r="974" spans="2:2" ht="15.75" customHeight="1">
      <c r="B974" s="34"/>
    </row>
    <row r="975" spans="2:2" ht="15.75" customHeight="1">
      <c r="B975" s="34"/>
    </row>
    <row r="976" spans="2:2" ht="15.75" customHeight="1">
      <c r="B976" s="34"/>
    </row>
    <row r="977" spans="2:2" ht="15.75" customHeight="1">
      <c r="B977" s="34"/>
    </row>
    <row r="978" spans="2:2" ht="15.75" customHeight="1">
      <c r="B978" s="34"/>
    </row>
    <row r="979" spans="2:2" ht="15.75" customHeight="1">
      <c r="B979" s="34"/>
    </row>
    <row r="980" spans="2:2" ht="15.75" customHeight="1">
      <c r="B980" s="34"/>
    </row>
    <row r="981" spans="2:2" ht="15.75" customHeight="1">
      <c r="B981" s="34"/>
    </row>
    <row r="982" spans="2:2" ht="15.75" customHeight="1">
      <c r="B982" s="34"/>
    </row>
    <row r="983" spans="2:2" ht="15.75" customHeight="1">
      <c r="B983" s="34"/>
    </row>
    <row r="984" spans="2:2" ht="15.75" customHeight="1">
      <c r="B984" s="34"/>
    </row>
    <row r="985" spans="2:2" ht="15.75" customHeight="1">
      <c r="B985" s="34"/>
    </row>
    <row r="986" spans="2:2" ht="15.75" customHeight="1">
      <c r="B986" s="34"/>
    </row>
    <row r="987" spans="2:2" ht="15.75" customHeight="1">
      <c r="B987" s="34"/>
    </row>
    <row r="988" spans="2:2" ht="15.75" customHeight="1">
      <c r="B988" s="34"/>
    </row>
    <row r="989" spans="2:2" ht="15.75" customHeight="1">
      <c r="B989" s="34"/>
    </row>
    <row r="990" spans="2:2" ht="15.75" customHeight="1">
      <c r="B990" s="34"/>
    </row>
    <row r="991" spans="2:2" ht="15.75" customHeight="1">
      <c r="B991" s="34"/>
    </row>
    <row r="992" spans="2:2" ht="15.75" customHeight="1">
      <c r="B992" s="34"/>
    </row>
    <row r="993" spans="2:2" ht="15.75" customHeight="1">
      <c r="B993" s="34"/>
    </row>
    <row r="994" spans="2:2" ht="15.75" customHeight="1">
      <c r="B994" s="34"/>
    </row>
    <row r="995" spans="2:2" ht="15.75" customHeight="1">
      <c r="B995" s="34"/>
    </row>
    <row r="996" spans="2:2" ht="15.75" customHeight="1">
      <c r="B996" s="34"/>
    </row>
    <row r="997" spans="2:2" ht="15.75" customHeight="1">
      <c r="B997" s="34"/>
    </row>
    <row r="998" spans="2:2" ht="15.75" customHeight="1">
      <c r="B998" s="34"/>
    </row>
    <row r="999" spans="2:2" ht="15.75" customHeight="1">
      <c r="B999" s="34"/>
    </row>
    <row r="1000" spans="2:2" ht="15.75" customHeight="1">
      <c r="B1000" s="34"/>
    </row>
  </sheetData>
  <autoFilter ref="A1:E154" xr:uid="{00000000-0009-0000-0000-000007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7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700-000001000000}">
      <formula1>Topic</formula1>
    </dataValidation>
    <dataValidation type="list" allowBlank="1" showErrorMessage="1" sqref="M20 L2:N14" xr:uid="{00000000-0002-0000-0700-000002000000}">
      <formula1>Country</formula1>
    </dataValidation>
    <dataValidation type="list" allowBlank="1" showErrorMessage="1" sqref="P20 P93 O2:O14" xr:uid="{00000000-0002-0000-0700-000003000000}">
      <formula1>Region</formula1>
    </dataValidation>
    <dataValidation type="list" allowBlank="1" showErrorMessage="1" sqref="F29:G29 F23:F28 F30:F33 F15:G22 F34:G96" xr:uid="{00000000-0002-0000-0700-000004000000}">
      <formula1>$XFB$1:$XFD$29</formula1>
    </dataValidation>
    <dataValidation type="list" allowBlank="1" showErrorMessage="1" sqref="G23:G28 G30:G33 F2:G14" xr:uid="{00000000-0002-0000-0700-000005000000}">
      <formula1>Theme</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location=".VD9p87CUfVY"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location=".VfuV-d-qqko" xr:uid="{00000000-0004-0000-0700-000078000000}"/>
    <hyperlink ref="B123" r:id="rId122" location=".VfuTLd-qqkp" xr:uid="{00000000-0004-0000-0700-000079000000}"/>
    <hyperlink ref="B124" r:id="rId123" location=".Vl1vT3YrLIU" xr:uid="{00000000-0004-0000-0700-00007A000000}"/>
    <hyperlink ref="B125" r:id="rId124" location=".Vl2OsnYrLIU" xr:uid="{00000000-0004-0000-0700-00007B000000}"/>
    <hyperlink ref="B126" r:id="rId125" xr:uid="{00000000-0004-0000-0700-00007C000000}"/>
    <hyperlink ref="B127" r:id="rId126" location=".Vp3b-fl97IU" xr:uid="{00000000-0004-0000-0700-00007D000000}"/>
    <hyperlink ref="B128" r:id="rId127" location=".VryGBvl97IU" xr:uid="{00000000-0004-0000-0700-00007E000000}"/>
    <hyperlink ref="B129" r:id="rId128" location=".VtfWa_l97IU" xr:uid="{00000000-0004-0000-0700-00007F000000}"/>
    <hyperlink ref="B130" r:id="rId129" location=".VtfVuPl97IU" xr:uid="{00000000-0004-0000-0700-000080000000}"/>
    <hyperlink ref="B131" r:id="rId130" location=".VtfTgPl97IU" xr:uid="{00000000-0004-0000-0700-000081000000}"/>
    <hyperlink ref="B132" r:id="rId131" location=".VulUkOJ97IU" xr:uid="{00000000-0004-0000-0700-000082000000}"/>
    <hyperlink ref="B133" r:id="rId132" location=".VwYNtPl97IU" xr:uid="{00000000-0004-0000-0700-000083000000}"/>
    <hyperlink ref="B134" r:id="rId133" location=".VwYPXfl97IU" xr:uid="{00000000-0004-0000-0700-000084000000}"/>
    <hyperlink ref="B135" r:id="rId134" location=".Vw-P7_l97IU" xr:uid="{00000000-0004-0000-0700-000085000000}"/>
    <hyperlink ref="B136" r:id="rId135" location=".Vx9F6Pl97IV" xr:uid="{00000000-0004-0000-0700-000086000000}"/>
    <hyperlink ref="B137" r:id="rId136" location=".VzCC84RcSko" xr:uid="{00000000-0004-0000-0700-000087000000}"/>
    <hyperlink ref="B138" r:id="rId137" location=".V0_-iPl97IU" xr:uid="{00000000-0004-0000-0700-000088000000}"/>
    <hyperlink ref="B139" r:id="rId138" location=".V5X5pvl97IU" xr:uid="{00000000-0004-0000-0700-000089000000}"/>
    <hyperlink ref="B140" r:id="rId139" location=".V-5KePl97IU"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xr:uid="{00000000-0004-0000-0700-000097000000}"/>
    <hyperlink ref="E153" r:id="rId153" xr:uid="{00000000-0004-0000-0700-000098000000}"/>
    <hyperlink ref="B154" r:id="rId154" xr:uid="{00000000-0004-0000-0700-000099000000}"/>
    <hyperlink ref="E154" r:id="rId155" xr:uid="{00000000-0004-0000-07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3"/>
  <sheetViews>
    <sheetView topLeftCell="C1" workbookViewId="0">
      <pane ySplit="1" topLeftCell="A2" activePane="bottomLeft" state="frozen"/>
      <selection pane="bottomLeft" activeCell="C1" sqref="A1:XFD1"/>
    </sheetView>
  </sheetViews>
  <sheetFormatPr defaultColWidth="14.44140625" defaultRowHeight="15" customHeight="1"/>
  <cols>
    <col min="1" max="1" width="9.109375" style="11" customWidth="1"/>
    <col min="2" max="2" width="78.33203125" style="11" customWidth="1"/>
    <col min="3" max="3" width="22.21875" style="11" customWidth="1"/>
    <col min="4" max="4" width="95.44140625" style="11" customWidth="1"/>
    <col min="5" max="5" width="77.6640625" style="11" customWidth="1"/>
    <col min="6" max="25" width="9.109375" style="11" customWidth="1"/>
    <col min="26" max="16384" width="14.44140625" style="11"/>
  </cols>
  <sheetData>
    <row r="1" spans="1:25" s="507" customFormat="1" ht="33.75" customHeight="1">
      <c r="A1" s="491" t="s">
        <v>4131</v>
      </c>
      <c r="B1" s="491" t="s">
        <v>3527</v>
      </c>
      <c r="C1" s="491" t="s">
        <v>2</v>
      </c>
      <c r="D1" s="491" t="s">
        <v>3</v>
      </c>
      <c r="E1" s="491" t="s">
        <v>4132</v>
      </c>
      <c r="F1" s="504"/>
      <c r="G1" s="504"/>
      <c r="H1" s="504"/>
      <c r="I1" s="504"/>
      <c r="J1" s="504"/>
      <c r="K1" s="504"/>
      <c r="L1" s="504"/>
      <c r="M1" s="504"/>
      <c r="N1" s="504"/>
      <c r="O1" s="504"/>
      <c r="P1" s="504"/>
      <c r="Q1" s="504"/>
      <c r="R1" s="504"/>
      <c r="S1" s="504"/>
      <c r="T1" s="504"/>
      <c r="U1" s="504"/>
      <c r="V1" s="504"/>
      <c r="W1" s="504"/>
      <c r="X1" s="504"/>
      <c r="Y1" s="504"/>
    </row>
    <row r="2" spans="1:25" ht="86.4">
      <c r="A2" s="113">
        <v>1</v>
      </c>
      <c r="B2" s="2" t="s">
        <v>4133</v>
      </c>
      <c r="C2" s="420">
        <v>36901</v>
      </c>
      <c r="D2" s="113" t="s">
        <v>4134</v>
      </c>
      <c r="E2" s="113" t="s">
        <v>7</v>
      </c>
      <c r="F2" s="161"/>
      <c r="G2" s="161"/>
      <c r="H2" s="161"/>
      <c r="I2" s="161"/>
      <c r="J2" s="161"/>
      <c r="K2" s="161"/>
      <c r="L2" s="161"/>
      <c r="M2" s="161"/>
      <c r="N2" s="161"/>
      <c r="O2" s="161"/>
      <c r="P2" s="161"/>
      <c r="Q2" s="161"/>
      <c r="R2" s="161"/>
      <c r="S2" s="161"/>
      <c r="T2" s="161"/>
      <c r="U2" s="161"/>
      <c r="V2" s="161"/>
      <c r="W2" s="161"/>
      <c r="X2" s="161"/>
      <c r="Y2" s="161"/>
    </row>
    <row r="3" spans="1:25" ht="86.4">
      <c r="A3" s="113">
        <f t="shared" ref="A3:A132" si="0">A2+1</f>
        <v>2</v>
      </c>
      <c r="B3" s="2" t="s">
        <v>4135</v>
      </c>
      <c r="C3" s="420">
        <v>36956</v>
      </c>
      <c r="D3" s="113" t="s">
        <v>4136</v>
      </c>
      <c r="E3" s="113" t="s">
        <v>4137</v>
      </c>
      <c r="F3" s="161"/>
      <c r="G3" s="161"/>
      <c r="H3" s="161"/>
      <c r="I3" s="161"/>
      <c r="J3" s="161"/>
      <c r="K3" s="161"/>
      <c r="L3" s="161"/>
      <c r="M3" s="161"/>
      <c r="N3" s="161"/>
      <c r="O3" s="161"/>
      <c r="P3" s="161"/>
      <c r="Q3" s="161"/>
      <c r="R3" s="161"/>
      <c r="S3" s="161"/>
      <c r="T3" s="161"/>
      <c r="U3" s="161"/>
      <c r="V3" s="161"/>
      <c r="W3" s="161"/>
      <c r="X3" s="161"/>
      <c r="Y3" s="161"/>
    </row>
    <row r="4" spans="1:25" ht="86.4">
      <c r="A4" s="113">
        <f t="shared" si="0"/>
        <v>3</v>
      </c>
      <c r="B4" s="2" t="s">
        <v>4138</v>
      </c>
      <c r="C4" s="420">
        <v>37151</v>
      </c>
      <c r="D4" s="113" t="s">
        <v>4139</v>
      </c>
      <c r="E4" s="113" t="s">
        <v>4140</v>
      </c>
      <c r="F4" s="161"/>
      <c r="G4" s="161"/>
      <c r="H4" s="161"/>
      <c r="I4" s="161"/>
      <c r="J4" s="161"/>
      <c r="K4" s="161"/>
      <c r="L4" s="161"/>
      <c r="M4" s="161"/>
      <c r="N4" s="161"/>
      <c r="O4" s="161"/>
      <c r="P4" s="161"/>
      <c r="Q4" s="161"/>
      <c r="R4" s="161"/>
      <c r="S4" s="161"/>
      <c r="T4" s="161"/>
      <c r="U4" s="161"/>
      <c r="V4" s="161"/>
      <c r="W4" s="161"/>
      <c r="X4" s="161"/>
      <c r="Y4" s="161"/>
    </row>
    <row r="5" spans="1:25" ht="72">
      <c r="A5" s="113">
        <f t="shared" si="0"/>
        <v>4</v>
      </c>
      <c r="B5" s="2" t="s">
        <v>4141</v>
      </c>
      <c r="C5" s="420">
        <v>37271</v>
      </c>
      <c r="D5" s="113" t="s">
        <v>4142</v>
      </c>
      <c r="E5" s="113" t="s">
        <v>74</v>
      </c>
      <c r="F5" s="161"/>
      <c r="G5" s="161"/>
      <c r="H5" s="161"/>
      <c r="I5" s="161"/>
      <c r="J5" s="161"/>
      <c r="K5" s="161"/>
      <c r="L5" s="161"/>
      <c r="M5" s="161"/>
      <c r="N5" s="161"/>
      <c r="O5" s="161"/>
      <c r="P5" s="161"/>
      <c r="Q5" s="161"/>
      <c r="R5" s="161"/>
      <c r="S5" s="161"/>
      <c r="T5" s="161"/>
      <c r="U5" s="161"/>
      <c r="V5" s="161"/>
      <c r="W5" s="161"/>
      <c r="X5" s="161"/>
      <c r="Y5" s="161"/>
    </row>
    <row r="6" spans="1:25" ht="57.6">
      <c r="A6" s="113">
        <f t="shared" si="0"/>
        <v>5</v>
      </c>
      <c r="B6" s="2" t="s">
        <v>4143</v>
      </c>
      <c r="C6" s="420">
        <v>37285</v>
      </c>
      <c r="D6" s="113" t="s">
        <v>4144</v>
      </c>
      <c r="E6" s="113" t="s">
        <v>4145</v>
      </c>
      <c r="F6" s="161"/>
      <c r="G6" s="161"/>
      <c r="H6" s="161"/>
      <c r="I6" s="4"/>
      <c r="J6" s="161"/>
      <c r="K6" s="161"/>
      <c r="L6" s="161"/>
      <c r="M6" s="161"/>
      <c r="N6" s="161"/>
      <c r="O6" s="161"/>
      <c r="P6" s="161"/>
      <c r="Q6" s="161"/>
      <c r="R6" s="161"/>
      <c r="S6" s="161"/>
      <c r="T6" s="161"/>
      <c r="U6" s="161"/>
      <c r="V6" s="161"/>
      <c r="W6" s="161"/>
      <c r="X6" s="161"/>
      <c r="Y6" s="161"/>
    </row>
    <row r="7" spans="1:25" ht="33.75" customHeight="1">
      <c r="A7" s="113">
        <f t="shared" si="0"/>
        <v>6</v>
      </c>
      <c r="B7" s="2" t="s">
        <v>614</v>
      </c>
      <c r="C7" s="420">
        <v>37289</v>
      </c>
      <c r="D7" s="113" t="s">
        <v>4146</v>
      </c>
      <c r="E7" s="113" t="s">
        <v>85</v>
      </c>
      <c r="F7" s="161"/>
      <c r="G7" s="161"/>
      <c r="H7" s="4"/>
      <c r="I7" s="161"/>
      <c r="J7" s="161"/>
      <c r="K7" s="161"/>
      <c r="L7" s="161"/>
      <c r="M7" s="161"/>
      <c r="N7" s="161"/>
      <c r="O7" s="161"/>
      <c r="P7" s="161"/>
      <c r="Q7" s="161"/>
      <c r="R7" s="161"/>
      <c r="S7" s="161"/>
      <c r="T7" s="161"/>
      <c r="U7" s="161"/>
      <c r="V7" s="161"/>
      <c r="W7" s="161"/>
      <c r="X7" s="161"/>
      <c r="Y7" s="161"/>
    </row>
    <row r="8" spans="1:25" ht="33.75" customHeight="1">
      <c r="A8" s="113">
        <f t="shared" si="0"/>
        <v>7</v>
      </c>
      <c r="B8" s="2" t="s">
        <v>4147</v>
      </c>
      <c r="C8" s="420">
        <v>37303</v>
      </c>
      <c r="D8" s="113" t="s">
        <v>4148</v>
      </c>
      <c r="E8" s="113" t="s">
        <v>4149</v>
      </c>
      <c r="F8" s="161"/>
      <c r="G8" s="161"/>
      <c r="H8" s="161"/>
      <c r="I8" s="4"/>
      <c r="J8" s="161"/>
      <c r="K8" s="161"/>
      <c r="L8" s="161"/>
      <c r="M8" s="161"/>
      <c r="N8" s="161"/>
      <c r="O8" s="161"/>
      <c r="P8" s="161"/>
      <c r="Q8" s="161"/>
      <c r="R8" s="161"/>
      <c r="S8" s="161"/>
      <c r="T8" s="161"/>
      <c r="U8" s="161"/>
      <c r="V8" s="161"/>
      <c r="W8" s="161"/>
      <c r="X8" s="161"/>
      <c r="Y8" s="161"/>
    </row>
    <row r="9" spans="1:25" ht="33.75" customHeight="1">
      <c r="A9" s="113">
        <f t="shared" si="0"/>
        <v>8</v>
      </c>
      <c r="B9" s="2" t="s">
        <v>4150</v>
      </c>
      <c r="C9" s="420">
        <v>37322</v>
      </c>
      <c r="D9" s="113" t="s">
        <v>4151</v>
      </c>
      <c r="E9" s="113" t="s">
        <v>7</v>
      </c>
      <c r="F9" s="161"/>
      <c r="G9" s="161"/>
      <c r="H9" s="161"/>
      <c r="I9" s="161"/>
      <c r="J9" s="161"/>
      <c r="K9" s="161"/>
      <c r="L9" s="161"/>
      <c r="M9" s="161"/>
      <c r="N9" s="161"/>
      <c r="O9" s="161"/>
      <c r="P9" s="161"/>
      <c r="Q9" s="161"/>
      <c r="R9" s="161"/>
      <c r="S9" s="161"/>
      <c r="T9" s="161"/>
      <c r="U9" s="161"/>
      <c r="V9" s="161"/>
      <c r="W9" s="161"/>
      <c r="X9" s="161"/>
      <c r="Y9" s="161"/>
    </row>
    <row r="10" spans="1:25" ht="33.75" customHeight="1">
      <c r="A10" s="113">
        <f t="shared" si="0"/>
        <v>9</v>
      </c>
      <c r="B10" s="2" t="s">
        <v>4152</v>
      </c>
      <c r="C10" s="420">
        <v>37361</v>
      </c>
      <c r="D10" s="113" t="s">
        <v>4153</v>
      </c>
      <c r="E10" s="113" t="s">
        <v>4154</v>
      </c>
      <c r="F10" s="161"/>
      <c r="G10" s="161"/>
      <c r="H10" s="161"/>
      <c r="I10" s="161"/>
      <c r="J10" s="161"/>
      <c r="K10" s="161"/>
      <c r="L10" s="161"/>
      <c r="M10" s="161"/>
      <c r="N10" s="161"/>
      <c r="O10" s="161"/>
      <c r="P10" s="161"/>
      <c r="Q10" s="161"/>
      <c r="R10" s="161"/>
      <c r="S10" s="161"/>
      <c r="T10" s="161"/>
      <c r="U10" s="161"/>
      <c r="V10" s="161"/>
      <c r="W10" s="161"/>
      <c r="X10" s="161"/>
      <c r="Y10" s="161"/>
    </row>
    <row r="11" spans="1:25" ht="33.75" customHeight="1">
      <c r="A11" s="113">
        <f t="shared" si="0"/>
        <v>10</v>
      </c>
      <c r="B11" s="2" t="s">
        <v>4155</v>
      </c>
      <c r="C11" s="420">
        <v>37396</v>
      </c>
      <c r="D11" s="113" t="s">
        <v>4156</v>
      </c>
      <c r="E11" s="113" t="s">
        <v>145</v>
      </c>
      <c r="F11" s="161"/>
      <c r="G11" s="161"/>
      <c r="H11" s="161"/>
      <c r="I11" s="161"/>
      <c r="J11" s="161"/>
      <c r="K11" s="161"/>
      <c r="L11" s="161"/>
      <c r="M11" s="161"/>
      <c r="N11" s="161"/>
      <c r="O11" s="161"/>
      <c r="P11" s="161"/>
      <c r="Q11" s="161"/>
      <c r="R11" s="161"/>
      <c r="S11" s="161"/>
      <c r="T11" s="161"/>
      <c r="U11" s="161"/>
      <c r="V11" s="161"/>
      <c r="W11" s="161"/>
      <c r="X11" s="161"/>
      <c r="Y11" s="161"/>
    </row>
    <row r="12" spans="1:25" ht="33.75" customHeight="1">
      <c r="A12" s="113">
        <f t="shared" si="0"/>
        <v>11</v>
      </c>
      <c r="B12" s="2" t="s">
        <v>4157</v>
      </c>
      <c r="C12" s="420">
        <v>37411</v>
      </c>
      <c r="D12" s="113" t="s">
        <v>4158</v>
      </c>
      <c r="E12" s="113" t="s">
        <v>4159</v>
      </c>
      <c r="F12" s="161"/>
      <c r="G12" s="161"/>
      <c r="H12" s="161"/>
      <c r="I12" s="161"/>
      <c r="J12" s="161"/>
      <c r="K12" s="161"/>
      <c r="L12" s="161"/>
      <c r="M12" s="161"/>
      <c r="N12" s="161"/>
      <c r="O12" s="161"/>
      <c r="P12" s="161"/>
      <c r="Q12" s="161"/>
      <c r="R12" s="161"/>
      <c r="S12" s="161"/>
      <c r="T12" s="161"/>
      <c r="U12" s="161"/>
      <c r="V12" s="161"/>
      <c r="W12" s="161"/>
      <c r="X12" s="161"/>
      <c r="Y12" s="161"/>
    </row>
    <row r="13" spans="1:25" ht="33.75" customHeight="1">
      <c r="A13" s="113">
        <f t="shared" si="0"/>
        <v>12</v>
      </c>
      <c r="B13" s="2" t="s">
        <v>4160</v>
      </c>
      <c r="C13" s="420">
        <v>37445</v>
      </c>
      <c r="D13" s="113" t="s">
        <v>4161</v>
      </c>
      <c r="E13" s="113" t="s">
        <v>7</v>
      </c>
      <c r="F13" s="161"/>
      <c r="G13" s="161"/>
      <c r="H13" s="161"/>
      <c r="I13" s="161"/>
      <c r="J13" s="161"/>
      <c r="K13" s="161"/>
      <c r="L13" s="161"/>
      <c r="M13" s="161"/>
      <c r="N13" s="161"/>
      <c r="O13" s="161"/>
      <c r="P13" s="161"/>
      <c r="Q13" s="161"/>
      <c r="R13" s="161"/>
      <c r="S13" s="161"/>
      <c r="T13" s="161"/>
      <c r="U13" s="161"/>
      <c r="V13" s="161"/>
      <c r="W13" s="161"/>
      <c r="X13" s="161"/>
      <c r="Y13" s="161"/>
    </row>
    <row r="14" spans="1:25" ht="33.75" customHeight="1">
      <c r="A14" s="113">
        <f t="shared" si="0"/>
        <v>13</v>
      </c>
      <c r="B14" s="2" t="s">
        <v>4162</v>
      </c>
      <c r="C14" s="420">
        <v>37480</v>
      </c>
      <c r="D14" s="113" t="s">
        <v>4163</v>
      </c>
      <c r="E14" s="113" t="s">
        <v>269</v>
      </c>
      <c r="F14" s="161"/>
      <c r="G14" s="161"/>
      <c r="H14" s="161"/>
      <c r="I14" s="161"/>
      <c r="J14" s="161"/>
      <c r="K14" s="161"/>
      <c r="L14" s="161"/>
      <c r="M14" s="161"/>
      <c r="N14" s="161"/>
      <c r="O14" s="161"/>
      <c r="P14" s="161"/>
      <c r="Q14" s="161"/>
      <c r="R14" s="161"/>
      <c r="S14" s="161"/>
      <c r="T14" s="161"/>
      <c r="U14" s="161"/>
      <c r="V14" s="161"/>
      <c r="W14" s="161"/>
      <c r="X14" s="161"/>
      <c r="Y14" s="161"/>
    </row>
    <row r="15" spans="1:25" ht="33.75" customHeight="1">
      <c r="A15" s="113">
        <f t="shared" si="0"/>
        <v>14</v>
      </c>
      <c r="B15" s="2" t="s">
        <v>4164</v>
      </c>
      <c r="C15" s="420">
        <v>37518</v>
      </c>
      <c r="D15" s="113" t="s">
        <v>4165</v>
      </c>
      <c r="E15" s="113" t="s">
        <v>7</v>
      </c>
      <c r="F15" s="161"/>
      <c r="G15" s="161"/>
      <c r="H15" s="161"/>
      <c r="I15" s="161"/>
      <c r="J15" s="161"/>
      <c r="K15" s="161"/>
      <c r="L15" s="161"/>
      <c r="M15" s="161"/>
      <c r="N15" s="161"/>
      <c r="O15" s="161"/>
      <c r="P15" s="161"/>
      <c r="Q15" s="161"/>
      <c r="R15" s="161"/>
      <c r="S15" s="161"/>
      <c r="T15" s="161"/>
      <c r="U15" s="161"/>
      <c r="V15" s="161"/>
      <c r="W15" s="161"/>
      <c r="X15" s="161"/>
      <c r="Y15" s="161"/>
    </row>
    <row r="16" spans="1:25" ht="33.75" customHeight="1">
      <c r="A16" s="113">
        <f t="shared" si="0"/>
        <v>15</v>
      </c>
      <c r="B16" s="2" t="s">
        <v>4166</v>
      </c>
      <c r="C16" s="420">
        <v>37543</v>
      </c>
      <c r="D16" s="113" t="s">
        <v>4167</v>
      </c>
      <c r="E16" s="113" t="s">
        <v>136</v>
      </c>
      <c r="F16" s="161"/>
      <c r="G16" s="161"/>
      <c r="H16" s="161"/>
      <c r="I16" s="161"/>
      <c r="J16" s="161"/>
      <c r="K16" s="161"/>
      <c r="L16" s="161"/>
      <c r="M16" s="161"/>
      <c r="N16" s="161"/>
      <c r="O16" s="161"/>
      <c r="P16" s="161"/>
      <c r="Q16" s="161"/>
      <c r="R16" s="161"/>
      <c r="S16" s="161"/>
      <c r="T16" s="161"/>
      <c r="U16" s="161"/>
      <c r="V16" s="161"/>
      <c r="W16" s="161"/>
      <c r="X16" s="161"/>
      <c r="Y16" s="161"/>
    </row>
    <row r="17" spans="1:25" ht="33.75" customHeight="1">
      <c r="A17" s="113">
        <f t="shared" si="0"/>
        <v>16</v>
      </c>
      <c r="B17" s="2" t="s">
        <v>4168</v>
      </c>
      <c r="C17" s="420">
        <v>37546</v>
      </c>
      <c r="D17" s="113" t="s">
        <v>4169</v>
      </c>
      <c r="E17" s="113" t="s">
        <v>4170</v>
      </c>
      <c r="F17" s="161"/>
      <c r="G17" s="161"/>
      <c r="H17" s="161"/>
      <c r="I17" s="161"/>
      <c r="J17" s="161"/>
      <c r="K17" s="161"/>
      <c r="L17" s="161"/>
      <c r="M17" s="161"/>
      <c r="N17" s="161"/>
      <c r="O17" s="161"/>
      <c r="P17" s="161"/>
      <c r="Q17" s="161"/>
      <c r="R17" s="161"/>
      <c r="S17" s="161"/>
      <c r="T17" s="161"/>
      <c r="U17" s="161"/>
      <c r="V17" s="161"/>
      <c r="W17" s="161"/>
      <c r="X17" s="161"/>
      <c r="Y17" s="161"/>
    </row>
    <row r="18" spans="1:25" ht="33.75" customHeight="1">
      <c r="A18" s="113">
        <f t="shared" si="0"/>
        <v>17</v>
      </c>
      <c r="B18" s="2" t="s">
        <v>4171</v>
      </c>
      <c r="C18" s="420">
        <v>37565</v>
      </c>
      <c r="D18" s="113" t="s">
        <v>4172</v>
      </c>
      <c r="E18" s="113" t="s">
        <v>4173</v>
      </c>
      <c r="F18" s="161"/>
      <c r="G18" s="161"/>
      <c r="H18" s="161"/>
      <c r="I18" s="161"/>
      <c r="J18" s="161"/>
      <c r="K18" s="161"/>
      <c r="L18" s="161"/>
      <c r="M18" s="161"/>
      <c r="N18" s="161"/>
      <c r="O18" s="161"/>
      <c r="P18" s="161"/>
      <c r="Q18" s="161"/>
      <c r="R18" s="161"/>
      <c r="S18" s="161"/>
      <c r="T18" s="161"/>
      <c r="U18" s="161"/>
      <c r="V18" s="161"/>
      <c r="W18" s="161"/>
      <c r="X18" s="161"/>
      <c r="Y18" s="161"/>
    </row>
    <row r="19" spans="1:25" ht="33.75" customHeight="1">
      <c r="A19" s="113">
        <f t="shared" si="0"/>
        <v>18</v>
      </c>
      <c r="B19" s="2" t="s">
        <v>4174</v>
      </c>
      <c r="C19" s="420">
        <v>37656</v>
      </c>
      <c r="D19" s="113" t="s">
        <v>4175</v>
      </c>
      <c r="E19" s="113" t="s">
        <v>227</v>
      </c>
      <c r="F19" s="161"/>
      <c r="G19" s="161"/>
      <c r="H19" s="161"/>
      <c r="I19" s="161"/>
      <c r="J19" s="161"/>
      <c r="K19" s="161"/>
      <c r="L19" s="161"/>
      <c r="M19" s="161"/>
      <c r="N19" s="161"/>
      <c r="O19" s="161"/>
      <c r="P19" s="161"/>
      <c r="Q19" s="161"/>
      <c r="R19" s="161"/>
      <c r="S19" s="161"/>
      <c r="T19" s="161"/>
      <c r="U19" s="161"/>
      <c r="V19" s="161"/>
      <c r="W19" s="161"/>
      <c r="X19" s="161"/>
      <c r="Y19" s="161"/>
    </row>
    <row r="20" spans="1:25" ht="33.75" customHeight="1">
      <c r="A20" s="113">
        <f t="shared" si="0"/>
        <v>19</v>
      </c>
      <c r="B20" s="2" t="s">
        <v>4176</v>
      </c>
      <c r="C20" s="420">
        <v>37742</v>
      </c>
      <c r="D20" s="113" t="s">
        <v>4177</v>
      </c>
      <c r="E20" s="113" t="s">
        <v>4178</v>
      </c>
      <c r="F20" s="161"/>
      <c r="G20" s="161"/>
      <c r="H20" s="161"/>
      <c r="I20" s="161"/>
      <c r="J20" s="161"/>
      <c r="K20" s="161"/>
      <c r="L20" s="161"/>
      <c r="M20" s="161"/>
      <c r="N20" s="161"/>
      <c r="O20" s="161"/>
      <c r="P20" s="161"/>
      <c r="Q20" s="161"/>
      <c r="R20" s="161"/>
      <c r="S20" s="161"/>
      <c r="T20" s="161"/>
      <c r="U20" s="161"/>
      <c r="V20" s="161"/>
      <c r="W20" s="161"/>
      <c r="X20" s="161"/>
      <c r="Y20" s="161"/>
    </row>
    <row r="21" spans="1:25" ht="33.75" customHeight="1">
      <c r="A21" s="113">
        <f t="shared" si="0"/>
        <v>20</v>
      </c>
      <c r="B21" s="2" t="s">
        <v>4179</v>
      </c>
      <c r="C21" s="420">
        <v>37778</v>
      </c>
      <c r="D21" s="113" t="s">
        <v>4180</v>
      </c>
      <c r="E21" s="113" t="s">
        <v>145</v>
      </c>
      <c r="F21" s="161"/>
      <c r="G21" s="161"/>
      <c r="H21" s="161"/>
      <c r="I21" s="161"/>
      <c r="J21" s="161"/>
      <c r="K21" s="161"/>
      <c r="L21" s="161"/>
      <c r="M21" s="161"/>
      <c r="N21" s="161"/>
      <c r="O21" s="161"/>
      <c r="P21" s="161"/>
      <c r="Q21" s="161"/>
      <c r="R21" s="161"/>
      <c r="S21" s="161"/>
      <c r="T21" s="161"/>
      <c r="U21" s="161"/>
      <c r="V21" s="161"/>
      <c r="W21" s="161"/>
      <c r="X21" s="161"/>
      <c r="Y21" s="161"/>
    </row>
    <row r="22" spans="1:25" ht="33.75" customHeight="1">
      <c r="A22" s="113">
        <f t="shared" si="0"/>
        <v>21</v>
      </c>
      <c r="B22" s="2" t="s">
        <v>4181</v>
      </c>
      <c r="C22" s="420">
        <v>37930</v>
      </c>
      <c r="D22" s="113" t="s">
        <v>4182</v>
      </c>
      <c r="E22" s="113" t="s">
        <v>4183</v>
      </c>
      <c r="F22" s="161"/>
      <c r="G22" s="161"/>
      <c r="H22" s="161"/>
      <c r="I22" s="161"/>
      <c r="J22" s="161"/>
      <c r="K22" s="161"/>
      <c r="L22" s="161"/>
      <c r="M22" s="161"/>
      <c r="N22" s="161"/>
      <c r="O22" s="161"/>
      <c r="P22" s="161"/>
      <c r="Q22" s="161"/>
      <c r="R22" s="161"/>
      <c r="S22" s="161"/>
      <c r="T22" s="161"/>
      <c r="U22" s="161"/>
      <c r="V22" s="161"/>
      <c r="W22" s="161"/>
      <c r="X22" s="161"/>
      <c r="Y22" s="161"/>
    </row>
    <row r="23" spans="1:25" ht="33.75" customHeight="1">
      <c r="A23" s="113">
        <f t="shared" si="0"/>
        <v>22</v>
      </c>
      <c r="B23" s="2" t="s">
        <v>4184</v>
      </c>
      <c r="C23" s="420">
        <v>37992</v>
      </c>
      <c r="D23" s="113" t="s">
        <v>4185</v>
      </c>
      <c r="E23" s="113" t="s">
        <v>4186</v>
      </c>
      <c r="F23" s="161"/>
      <c r="G23" s="161"/>
      <c r="H23" s="161"/>
      <c r="I23" s="161"/>
      <c r="J23" s="161"/>
      <c r="K23" s="161"/>
      <c r="L23" s="161"/>
      <c r="M23" s="161"/>
      <c r="N23" s="161"/>
      <c r="O23" s="161"/>
      <c r="P23" s="161"/>
      <c r="Q23" s="161"/>
      <c r="R23" s="161"/>
      <c r="S23" s="161"/>
      <c r="T23" s="161"/>
      <c r="U23" s="161"/>
      <c r="V23" s="161"/>
      <c r="W23" s="161"/>
      <c r="X23" s="161"/>
      <c r="Y23" s="161"/>
    </row>
    <row r="24" spans="1:25" ht="33.75" customHeight="1">
      <c r="A24" s="113">
        <f t="shared" si="0"/>
        <v>23</v>
      </c>
      <c r="B24" s="2" t="s">
        <v>4187</v>
      </c>
      <c r="C24" s="420">
        <v>38020</v>
      </c>
      <c r="D24" s="113" t="s">
        <v>4188</v>
      </c>
      <c r="E24" s="113" t="s">
        <v>4189</v>
      </c>
      <c r="F24" s="161"/>
      <c r="G24" s="161"/>
      <c r="H24" s="161"/>
      <c r="I24" s="161"/>
      <c r="J24" s="161"/>
      <c r="K24" s="161"/>
      <c r="L24" s="161"/>
      <c r="M24" s="161"/>
      <c r="N24" s="161"/>
      <c r="O24" s="161"/>
      <c r="P24" s="161"/>
      <c r="Q24" s="161"/>
      <c r="R24" s="161"/>
      <c r="S24" s="161"/>
      <c r="T24" s="161"/>
      <c r="U24" s="161"/>
      <c r="V24" s="161"/>
      <c r="W24" s="161"/>
      <c r="X24" s="161"/>
      <c r="Y24" s="161"/>
    </row>
    <row r="25" spans="1:25" ht="33.75" customHeight="1">
      <c r="A25" s="113">
        <f t="shared" si="0"/>
        <v>24</v>
      </c>
      <c r="B25" s="2" t="s">
        <v>4190</v>
      </c>
      <c r="C25" s="420">
        <v>38042</v>
      </c>
      <c r="D25" s="113" t="s">
        <v>4191</v>
      </c>
      <c r="E25" s="113" t="s">
        <v>4192</v>
      </c>
      <c r="F25" s="161"/>
      <c r="G25" s="161"/>
      <c r="H25" s="161"/>
      <c r="I25" s="161"/>
      <c r="J25" s="161"/>
      <c r="K25" s="161"/>
      <c r="L25" s="161"/>
      <c r="M25" s="161"/>
      <c r="N25" s="161"/>
      <c r="O25" s="161"/>
      <c r="P25" s="161"/>
      <c r="Q25" s="161"/>
      <c r="R25" s="161"/>
      <c r="S25" s="161"/>
      <c r="T25" s="161"/>
      <c r="U25" s="161"/>
      <c r="V25" s="161"/>
      <c r="W25" s="161"/>
      <c r="X25" s="161"/>
      <c r="Y25" s="161"/>
    </row>
    <row r="26" spans="1:25" ht="33.75" customHeight="1">
      <c r="A26" s="113">
        <f t="shared" si="0"/>
        <v>25</v>
      </c>
      <c r="B26" s="2" t="s">
        <v>4193</v>
      </c>
      <c r="C26" s="420">
        <v>38057</v>
      </c>
      <c r="D26" s="113" t="s">
        <v>4194</v>
      </c>
      <c r="E26" s="113" t="s">
        <v>4195</v>
      </c>
      <c r="F26" s="161"/>
      <c r="G26" s="161"/>
      <c r="H26" s="161"/>
      <c r="I26" s="161"/>
      <c r="J26" s="161"/>
      <c r="K26" s="161"/>
      <c r="L26" s="161"/>
      <c r="M26" s="161"/>
      <c r="N26" s="161"/>
      <c r="O26" s="161"/>
      <c r="P26" s="161"/>
      <c r="Q26" s="161"/>
      <c r="R26" s="161"/>
      <c r="S26" s="161"/>
      <c r="T26" s="161"/>
      <c r="U26" s="161"/>
      <c r="V26" s="161"/>
      <c r="W26" s="161"/>
      <c r="X26" s="161"/>
      <c r="Y26" s="161"/>
    </row>
    <row r="27" spans="1:25" ht="33.75" customHeight="1">
      <c r="A27" s="113">
        <f t="shared" si="0"/>
        <v>26</v>
      </c>
      <c r="B27" s="2" t="s">
        <v>4196</v>
      </c>
      <c r="C27" s="420">
        <v>38111</v>
      </c>
      <c r="D27" s="113" t="s">
        <v>4197</v>
      </c>
      <c r="E27" s="113" t="s">
        <v>4198</v>
      </c>
      <c r="F27" s="161"/>
      <c r="G27" s="161"/>
      <c r="H27" s="161"/>
      <c r="I27" s="161"/>
      <c r="J27" s="161"/>
      <c r="K27" s="161"/>
      <c r="L27" s="161"/>
      <c r="M27" s="161"/>
      <c r="N27" s="161"/>
      <c r="O27" s="161"/>
      <c r="P27" s="161"/>
      <c r="Q27" s="161"/>
      <c r="R27" s="161"/>
      <c r="S27" s="161"/>
      <c r="T27" s="161"/>
      <c r="U27" s="161"/>
      <c r="V27" s="161"/>
      <c r="W27" s="161"/>
      <c r="X27" s="161"/>
      <c r="Y27" s="161"/>
    </row>
    <row r="28" spans="1:25" ht="33.75" customHeight="1">
      <c r="A28" s="113">
        <f t="shared" si="0"/>
        <v>27</v>
      </c>
      <c r="B28" s="2" t="s">
        <v>4199</v>
      </c>
      <c r="C28" s="420">
        <v>38131</v>
      </c>
      <c r="D28" s="113" t="s">
        <v>4200</v>
      </c>
      <c r="E28" s="113" t="s">
        <v>4186</v>
      </c>
      <c r="F28" s="161"/>
      <c r="G28" s="161"/>
      <c r="H28" s="161"/>
      <c r="I28" s="161"/>
      <c r="J28" s="161"/>
      <c r="K28" s="161"/>
      <c r="L28" s="161"/>
      <c r="M28" s="161"/>
      <c r="N28" s="161"/>
      <c r="O28" s="161"/>
      <c r="P28" s="161"/>
      <c r="Q28" s="161"/>
      <c r="R28" s="161"/>
      <c r="S28" s="161"/>
      <c r="T28" s="161"/>
      <c r="U28" s="161"/>
      <c r="V28" s="161"/>
      <c r="W28" s="161"/>
      <c r="X28" s="161"/>
      <c r="Y28" s="161"/>
    </row>
    <row r="29" spans="1:25" ht="33.75" customHeight="1">
      <c r="A29" s="113">
        <f t="shared" si="0"/>
        <v>28</v>
      </c>
      <c r="B29" s="2" t="s">
        <v>4201</v>
      </c>
      <c r="C29" s="420">
        <v>38142</v>
      </c>
      <c r="D29" s="113" t="s">
        <v>4202</v>
      </c>
      <c r="E29" s="113" t="s">
        <v>1598</v>
      </c>
      <c r="F29" s="161"/>
      <c r="G29" s="161"/>
      <c r="H29" s="161"/>
      <c r="I29" s="161"/>
      <c r="J29" s="161"/>
      <c r="K29" s="161"/>
      <c r="L29" s="161"/>
      <c r="M29" s="161"/>
      <c r="N29" s="161"/>
      <c r="O29" s="161"/>
      <c r="P29" s="161"/>
      <c r="Q29" s="161"/>
      <c r="R29" s="161"/>
      <c r="S29" s="161"/>
      <c r="T29" s="161"/>
      <c r="U29" s="161"/>
      <c r="V29" s="161"/>
      <c r="W29" s="161"/>
      <c r="X29" s="161"/>
      <c r="Y29" s="161"/>
    </row>
    <row r="30" spans="1:25" ht="33.75" customHeight="1">
      <c r="A30" s="113">
        <f t="shared" si="0"/>
        <v>29</v>
      </c>
      <c r="B30" s="2" t="s">
        <v>4203</v>
      </c>
      <c r="C30" s="420">
        <v>38210</v>
      </c>
      <c r="D30" s="113" t="s">
        <v>4204</v>
      </c>
      <c r="E30" s="113" t="s">
        <v>2684</v>
      </c>
      <c r="F30" s="161"/>
      <c r="G30" s="161"/>
      <c r="H30" s="4"/>
      <c r="I30" s="161"/>
      <c r="J30" s="161"/>
      <c r="K30" s="161"/>
      <c r="L30" s="161"/>
      <c r="M30" s="161"/>
      <c r="N30" s="161"/>
      <c r="O30" s="161"/>
      <c r="P30" s="161"/>
      <c r="Q30" s="161"/>
      <c r="R30" s="161"/>
      <c r="S30" s="161"/>
      <c r="T30" s="161"/>
      <c r="U30" s="161"/>
      <c r="V30" s="161"/>
      <c r="W30" s="161"/>
      <c r="X30" s="161"/>
      <c r="Y30" s="161"/>
    </row>
    <row r="31" spans="1:25" ht="33.75" customHeight="1">
      <c r="A31" s="113">
        <f t="shared" si="0"/>
        <v>30</v>
      </c>
      <c r="B31" s="2" t="s">
        <v>4205</v>
      </c>
      <c r="C31" s="420">
        <v>38252</v>
      </c>
      <c r="D31" s="113" t="s">
        <v>4206</v>
      </c>
      <c r="E31" s="113" t="s">
        <v>4207</v>
      </c>
      <c r="F31" s="161"/>
      <c r="G31" s="161"/>
      <c r="H31" s="161"/>
      <c r="I31" s="161"/>
      <c r="J31" s="161"/>
      <c r="K31" s="161"/>
      <c r="L31" s="161"/>
      <c r="M31" s="161"/>
      <c r="N31" s="161"/>
      <c r="O31" s="161"/>
      <c r="P31" s="161"/>
      <c r="Q31" s="161"/>
      <c r="R31" s="161"/>
      <c r="S31" s="161"/>
      <c r="T31" s="161"/>
      <c r="U31" s="161"/>
      <c r="V31" s="161"/>
      <c r="W31" s="161"/>
      <c r="X31" s="161"/>
      <c r="Y31" s="161"/>
    </row>
    <row r="32" spans="1:25" ht="33.75" customHeight="1">
      <c r="A32" s="113">
        <f t="shared" si="0"/>
        <v>31</v>
      </c>
      <c r="B32" s="2" t="s">
        <v>4208</v>
      </c>
      <c r="C32" s="420">
        <v>38273</v>
      </c>
      <c r="D32" s="113" t="s">
        <v>4209</v>
      </c>
      <c r="E32" s="113" t="s">
        <v>227</v>
      </c>
      <c r="F32" s="161"/>
      <c r="G32" s="161"/>
      <c r="H32" s="161"/>
      <c r="I32" s="161"/>
      <c r="J32" s="161"/>
      <c r="K32" s="161"/>
      <c r="L32" s="161"/>
      <c r="M32" s="161"/>
      <c r="N32" s="161"/>
      <c r="O32" s="161"/>
      <c r="P32" s="161"/>
      <c r="Q32" s="161"/>
      <c r="R32" s="161"/>
      <c r="S32" s="161"/>
      <c r="T32" s="161"/>
      <c r="U32" s="161"/>
      <c r="V32" s="161"/>
      <c r="W32" s="161"/>
      <c r="X32" s="161"/>
      <c r="Y32" s="161"/>
    </row>
    <row r="33" spans="1:25" ht="33.75" customHeight="1">
      <c r="A33" s="113">
        <f t="shared" si="0"/>
        <v>32</v>
      </c>
      <c r="B33" s="2" t="s">
        <v>4210</v>
      </c>
      <c r="C33" s="420">
        <v>38362</v>
      </c>
      <c r="D33" s="113" t="s">
        <v>4211</v>
      </c>
      <c r="E33" s="113" t="s">
        <v>4212</v>
      </c>
      <c r="F33" s="161"/>
      <c r="G33" s="161"/>
      <c r="H33" s="161"/>
      <c r="I33" s="161"/>
      <c r="J33" s="161"/>
      <c r="K33" s="161"/>
      <c r="L33" s="161"/>
      <c r="M33" s="161"/>
      <c r="N33" s="161"/>
      <c r="O33" s="161"/>
      <c r="P33" s="161"/>
      <c r="Q33" s="161"/>
      <c r="R33" s="161"/>
      <c r="S33" s="161"/>
      <c r="T33" s="161"/>
      <c r="U33" s="161"/>
      <c r="V33" s="161"/>
      <c r="W33" s="161"/>
      <c r="X33" s="161"/>
      <c r="Y33" s="161"/>
    </row>
    <row r="34" spans="1:25" ht="100.8">
      <c r="A34" s="113">
        <f t="shared" si="0"/>
        <v>33</v>
      </c>
      <c r="B34" s="2" t="s">
        <v>4213</v>
      </c>
      <c r="C34" s="420">
        <v>38373</v>
      </c>
      <c r="D34" s="113" t="s">
        <v>4214</v>
      </c>
      <c r="E34" s="113" t="s">
        <v>4215</v>
      </c>
      <c r="F34" s="161"/>
      <c r="G34" s="161"/>
      <c r="H34" s="161"/>
      <c r="I34" s="161"/>
      <c r="J34" s="161"/>
      <c r="K34" s="161"/>
      <c r="L34" s="161"/>
      <c r="M34" s="161"/>
      <c r="N34" s="161"/>
      <c r="O34" s="161"/>
      <c r="P34" s="161"/>
      <c r="Q34" s="161"/>
      <c r="R34" s="161"/>
      <c r="S34" s="161"/>
      <c r="T34" s="161"/>
      <c r="U34" s="161"/>
      <c r="V34" s="161"/>
      <c r="W34" s="161"/>
      <c r="X34" s="161"/>
      <c r="Y34" s="161"/>
    </row>
    <row r="35" spans="1:25" ht="33.75" customHeight="1">
      <c r="A35" s="113">
        <f t="shared" si="0"/>
        <v>34</v>
      </c>
      <c r="B35" s="2" t="s">
        <v>4216</v>
      </c>
      <c r="C35" s="420">
        <v>38390</v>
      </c>
      <c r="D35" s="113" t="s">
        <v>4217</v>
      </c>
      <c r="E35" s="113" t="s">
        <v>4218</v>
      </c>
      <c r="F35" s="161"/>
      <c r="G35" s="161"/>
      <c r="H35" s="161"/>
      <c r="I35" s="161"/>
      <c r="J35" s="161"/>
      <c r="K35" s="161"/>
      <c r="L35" s="161"/>
      <c r="M35" s="161"/>
      <c r="N35" s="161"/>
      <c r="O35" s="161"/>
      <c r="P35" s="161"/>
      <c r="Q35" s="161"/>
      <c r="R35" s="161"/>
      <c r="S35" s="161"/>
      <c r="T35" s="161"/>
      <c r="U35" s="161"/>
      <c r="V35" s="161"/>
      <c r="W35" s="161"/>
      <c r="X35" s="161"/>
      <c r="Y35" s="161"/>
    </row>
    <row r="36" spans="1:25" ht="33.75" customHeight="1">
      <c r="A36" s="113">
        <f t="shared" si="0"/>
        <v>35</v>
      </c>
      <c r="B36" s="2" t="s">
        <v>4219</v>
      </c>
      <c r="C36" s="420">
        <v>38422</v>
      </c>
      <c r="D36" s="113" t="s">
        <v>4220</v>
      </c>
      <c r="E36" s="113" t="s">
        <v>4221</v>
      </c>
      <c r="F36" s="161"/>
      <c r="G36" s="161"/>
      <c r="H36" s="161"/>
      <c r="I36" s="161"/>
      <c r="J36" s="161"/>
      <c r="K36" s="161"/>
      <c r="L36" s="161"/>
      <c r="M36" s="161"/>
      <c r="N36" s="161"/>
      <c r="O36" s="161"/>
      <c r="P36" s="161"/>
      <c r="Q36" s="161"/>
      <c r="R36" s="161"/>
      <c r="S36" s="161"/>
      <c r="T36" s="161"/>
      <c r="U36" s="161"/>
      <c r="V36" s="161"/>
      <c r="W36" s="161"/>
      <c r="X36" s="161"/>
      <c r="Y36" s="161"/>
    </row>
    <row r="37" spans="1:25" ht="33.75" customHeight="1">
      <c r="A37" s="113">
        <f t="shared" si="0"/>
        <v>36</v>
      </c>
      <c r="B37" s="2" t="s">
        <v>4222</v>
      </c>
      <c r="C37" s="420">
        <v>38446</v>
      </c>
      <c r="D37" s="113" t="s">
        <v>4223</v>
      </c>
      <c r="E37" s="113" t="s">
        <v>272</v>
      </c>
      <c r="F37" s="161"/>
      <c r="G37" s="161"/>
      <c r="H37" s="161"/>
      <c r="I37" s="161"/>
      <c r="J37" s="161"/>
      <c r="K37" s="161"/>
      <c r="L37" s="161"/>
      <c r="M37" s="161"/>
      <c r="N37" s="161"/>
      <c r="O37" s="161"/>
      <c r="P37" s="161"/>
      <c r="Q37" s="161"/>
      <c r="R37" s="161"/>
      <c r="S37" s="161"/>
      <c r="T37" s="161"/>
      <c r="U37" s="161"/>
      <c r="V37" s="161"/>
      <c r="W37" s="161"/>
      <c r="X37" s="161"/>
      <c r="Y37" s="161"/>
    </row>
    <row r="38" spans="1:25" ht="33.75" customHeight="1">
      <c r="A38" s="113">
        <f t="shared" si="0"/>
        <v>37</v>
      </c>
      <c r="B38" s="2" t="s">
        <v>4224</v>
      </c>
      <c r="C38" s="420">
        <v>38464</v>
      </c>
      <c r="D38" s="113" t="s">
        <v>4225</v>
      </c>
      <c r="E38" s="113" t="s">
        <v>4226</v>
      </c>
      <c r="F38" s="161"/>
      <c r="G38" s="161"/>
      <c r="H38" s="161"/>
      <c r="I38" s="161"/>
      <c r="J38" s="161"/>
      <c r="K38" s="161"/>
      <c r="L38" s="161"/>
      <c r="M38" s="161"/>
      <c r="N38" s="161"/>
      <c r="O38" s="161"/>
      <c r="P38" s="161"/>
      <c r="Q38" s="161"/>
      <c r="R38" s="161"/>
      <c r="S38" s="161"/>
      <c r="T38" s="161"/>
      <c r="U38" s="161"/>
      <c r="V38" s="161"/>
      <c r="W38" s="161"/>
      <c r="X38" s="161"/>
      <c r="Y38" s="161"/>
    </row>
    <row r="39" spans="1:25" ht="33.75" customHeight="1">
      <c r="A39" s="113">
        <f t="shared" si="0"/>
        <v>38</v>
      </c>
      <c r="B39" s="2" t="s">
        <v>4227</v>
      </c>
      <c r="C39" s="420">
        <v>38481</v>
      </c>
      <c r="D39" s="113" t="s">
        <v>4228</v>
      </c>
      <c r="E39" s="113" t="s">
        <v>227</v>
      </c>
      <c r="F39" s="161"/>
      <c r="G39" s="161"/>
      <c r="H39" s="161"/>
      <c r="I39" s="161"/>
      <c r="J39" s="161"/>
      <c r="K39" s="161"/>
      <c r="L39" s="161"/>
      <c r="M39" s="161"/>
      <c r="N39" s="161"/>
      <c r="O39" s="161"/>
      <c r="P39" s="161"/>
      <c r="Q39" s="161"/>
      <c r="R39" s="161"/>
      <c r="S39" s="161"/>
      <c r="T39" s="161"/>
      <c r="U39" s="161"/>
      <c r="V39" s="161"/>
      <c r="W39" s="161"/>
      <c r="X39" s="161"/>
      <c r="Y39" s="161"/>
    </row>
    <row r="40" spans="1:25" ht="33.75" customHeight="1">
      <c r="A40" s="113">
        <f t="shared" si="0"/>
        <v>39</v>
      </c>
      <c r="B40" s="2" t="s">
        <v>4229</v>
      </c>
      <c r="C40" s="420">
        <v>38489</v>
      </c>
      <c r="D40" s="113" t="s">
        <v>4230</v>
      </c>
      <c r="E40" s="113" t="s">
        <v>227</v>
      </c>
      <c r="F40" s="161"/>
      <c r="G40" s="161"/>
      <c r="H40" s="161"/>
      <c r="I40" s="161"/>
      <c r="J40" s="161"/>
      <c r="K40" s="161"/>
      <c r="L40" s="161"/>
      <c r="M40" s="161"/>
      <c r="N40" s="161"/>
      <c r="O40" s="161"/>
      <c r="P40" s="161"/>
      <c r="Q40" s="161"/>
      <c r="R40" s="161"/>
      <c r="S40" s="161"/>
      <c r="T40" s="161"/>
      <c r="U40" s="161"/>
      <c r="V40" s="161"/>
      <c r="W40" s="161"/>
      <c r="X40" s="161"/>
      <c r="Y40" s="161"/>
    </row>
    <row r="41" spans="1:25" ht="33.75" customHeight="1">
      <c r="A41" s="113">
        <f t="shared" si="0"/>
        <v>40</v>
      </c>
      <c r="B41" s="2" t="s">
        <v>4231</v>
      </c>
      <c r="C41" s="420">
        <v>38503</v>
      </c>
      <c r="D41" s="113" t="s">
        <v>4232</v>
      </c>
      <c r="E41" s="113" t="s">
        <v>4233</v>
      </c>
      <c r="F41" s="161"/>
      <c r="G41" s="161"/>
      <c r="H41" s="161"/>
      <c r="I41" s="161"/>
      <c r="J41" s="161"/>
      <c r="K41" s="161"/>
      <c r="L41" s="161"/>
      <c r="M41" s="161"/>
      <c r="N41" s="161"/>
      <c r="O41" s="161"/>
      <c r="P41" s="161"/>
      <c r="Q41" s="161"/>
      <c r="R41" s="161"/>
      <c r="S41" s="161"/>
      <c r="T41" s="161"/>
      <c r="U41" s="161"/>
      <c r="V41" s="161"/>
      <c r="W41" s="161"/>
      <c r="X41" s="161"/>
      <c r="Y41" s="161"/>
    </row>
    <row r="42" spans="1:25" ht="33.75" customHeight="1">
      <c r="A42" s="113">
        <f t="shared" si="0"/>
        <v>41</v>
      </c>
      <c r="B42" s="2" t="s">
        <v>4234</v>
      </c>
      <c r="C42" s="420">
        <v>38510</v>
      </c>
      <c r="D42" s="113" t="s">
        <v>4235</v>
      </c>
      <c r="E42" s="113" t="s">
        <v>4236</v>
      </c>
      <c r="F42" s="161"/>
      <c r="G42" s="161"/>
      <c r="H42" s="4"/>
      <c r="I42" s="161"/>
      <c r="J42" s="161"/>
      <c r="K42" s="161"/>
      <c r="L42" s="161"/>
      <c r="M42" s="161"/>
      <c r="N42" s="161"/>
      <c r="O42" s="161"/>
      <c r="P42" s="161"/>
      <c r="Q42" s="161"/>
      <c r="R42" s="161"/>
      <c r="S42" s="161"/>
      <c r="T42" s="161"/>
      <c r="U42" s="161"/>
      <c r="V42" s="161"/>
      <c r="W42" s="161"/>
      <c r="X42" s="161"/>
      <c r="Y42" s="161"/>
    </row>
    <row r="43" spans="1:25" ht="33.75" customHeight="1">
      <c r="A43" s="113">
        <f t="shared" si="0"/>
        <v>42</v>
      </c>
      <c r="B43" s="2" t="s">
        <v>254</v>
      </c>
      <c r="C43" s="420">
        <v>38537</v>
      </c>
      <c r="D43" s="113" t="s">
        <v>255</v>
      </c>
      <c r="E43" s="113" t="s">
        <v>4237</v>
      </c>
      <c r="F43" s="161"/>
      <c r="G43" s="161"/>
      <c r="H43" s="161"/>
      <c r="I43" s="161"/>
      <c r="J43" s="161"/>
      <c r="K43" s="161"/>
      <c r="L43" s="161"/>
      <c r="M43" s="161"/>
      <c r="N43" s="161"/>
      <c r="O43" s="161"/>
      <c r="P43" s="161"/>
      <c r="Q43" s="161"/>
      <c r="R43" s="161"/>
      <c r="S43" s="161"/>
      <c r="T43" s="161"/>
      <c r="U43" s="161"/>
      <c r="V43" s="161"/>
      <c r="W43" s="161"/>
      <c r="X43" s="161"/>
      <c r="Y43" s="161"/>
    </row>
    <row r="44" spans="1:25" ht="33.75" customHeight="1">
      <c r="A44" s="113">
        <f t="shared" si="0"/>
        <v>43</v>
      </c>
      <c r="B44" s="2" t="s">
        <v>4238</v>
      </c>
      <c r="C44" s="420">
        <v>38553</v>
      </c>
      <c r="D44" s="113" t="s">
        <v>4239</v>
      </c>
      <c r="E44" s="435" t="s">
        <v>4240</v>
      </c>
      <c r="F44" s="161"/>
      <c r="G44" s="161"/>
      <c r="H44" s="161"/>
      <c r="I44" s="161"/>
      <c r="J44" s="161"/>
      <c r="K44" s="161"/>
      <c r="L44" s="161"/>
      <c r="M44" s="161"/>
      <c r="N44" s="161"/>
      <c r="O44" s="161"/>
      <c r="P44" s="161"/>
      <c r="Q44" s="161"/>
      <c r="R44" s="161"/>
      <c r="S44" s="161"/>
      <c r="T44" s="161"/>
      <c r="U44" s="161"/>
      <c r="V44" s="161"/>
      <c r="W44" s="161"/>
      <c r="X44" s="161"/>
      <c r="Y44" s="161"/>
    </row>
    <row r="45" spans="1:25" ht="33.75" customHeight="1">
      <c r="A45" s="113">
        <f t="shared" si="0"/>
        <v>44</v>
      </c>
      <c r="B45" s="2" t="s">
        <v>4241</v>
      </c>
      <c r="C45" s="420">
        <v>38559</v>
      </c>
      <c r="D45" s="113" t="s">
        <v>4242</v>
      </c>
      <c r="E45" s="113" t="s">
        <v>4240</v>
      </c>
      <c r="F45" s="161"/>
      <c r="G45" s="161"/>
      <c r="H45" s="161"/>
      <c r="I45" s="161"/>
      <c r="J45" s="161"/>
      <c r="K45" s="161"/>
      <c r="L45" s="161"/>
      <c r="M45" s="161"/>
      <c r="N45" s="161"/>
      <c r="O45" s="161"/>
      <c r="P45" s="161"/>
      <c r="Q45" s="161"/>
      <c r="R45" s="161"/>
      <c r="S45" s="161"/>
      <c r="T45" s="161"/>
      <c r="U45" s="161"/>
      <c r="V45" s="161"/>
      <c r="W45" s="161"/>
      <c r="X45" s="161"/>
      <c r="Y45" s="161"/>
    </row>
    <row r="46" spans="1:25" ht="115.2">
      <c r="A46" s="113">
        <f t="shared" si="0"/>
        <v>45</v>
      </c>
      <c r="B46" s="2" t="s">
        <v>4243</v>
      </c>
      <c r="C46" s="420">
        <v>38750</v>
      </c>
      <c r="D46" s="113" t="s">
        <v>4244</v>
      </c>
      <c r="E46" s="113" t="s">
        <v>4245</v>
      </c>
      <c r="F46" s="161"/>
      <c r="G46" s="161"/>
      <c r="H46" s="161"/>
      <c r="I46" s="161"/>
      <c r="J46" s="161"/>
      <c r="K46" s="161"/>
      <c r="L46" s="161"/>
      <c r="M46" s="161"/>
      <c r="N46" s="161"/>
      <c r="O46" s="161"/>
      <c r="P46" s="161"/>
      <c r="Q46" s="161"/>
      <c r="R46" s="161"/>
      <c r="S46" s="161"/>
      <c r="T46" s="161"/>
      <c r="U46" s="161"/>
      <c r="V46" s="161"/>
      <c r="W46" s="161"/>
      <c r="X46" s="161"/>
      <c r="Y46" s="161"/>
    </row>
    <row r="47" spans="1:25" ht="33.75" customHeight="1">
      <c r="A47" s="113">
        <f t="shared" si="0"/>
        <v>46</v>
      </c>
      <c r="B47" s="2" t="s">
        <v>4246</v>
      </c>
      <c r="C47" s="420">
        <v>38765</v>
      </c>
      <c r="D47" s="113" t="s">
        <v>4247</v>
      </c>
      <c r="E47" s="113" t="s">
        <v>4248</v>
      </c>
      <c r="F47" s="161"/>
      <c r="G47" s="161"/>
      <c r="H47" s="161"/>
      <c r="I47" s="161"/>
      <c r="J47" s="161"/>
      <c r="K47" s="161"/>
      <c r="L47" s="161"/>
      <c r="M47" s="161"/>
      <c r="N47" s="161"/>
      <c r="O47" s="161"/>
      <c r="P47" s="161"/>
      <c r="Q47" s="161"/>
      <c r="R47" s="161"/>
      <c r="S47" s="161"/>
      <c r="T47" s="161"/>
      <c r="U47" s="161"/>
      <c r="V47" s="161"/>
      <c r="W47" s="161"/>
      <c r="X47" s="161"/>
      <c r="Y47" s="161"/>
    </row>
    <row r="48" spans="1:25" ht="33.75" customHeight="1">
      <c r="A48" s="113">
        <f t="shared" si="0"/>
        <v>47</v>
      </c>
      <c r="B48" s="2" t="s">
        <v>4249</v>
      </c>
      <c r="C48" s="420">
        <v>38779</v>
      </c>
      <c r="D48" s="113" t="s">
        <v>4250</v>
      </c>
      <c r="E48" s="113" t="s">
        <v>4251</v>
      </c>
      <c r="F48" s="161"/>
      <c r="G48" s="161"/>
      <c r="H48" s="161"/>
      <c r="I48" s="161"/>
      <c r="J48" s="161"/>
      <c r="K48" s="161"/>
      <c r="L48" s="161"/>
      <c r="M48" s="161"/>
      <c r="N48" s="161"/>
      <c r="O48" s="161"/>
      <c r="P48" s="161"/>
      <c r="Q48" s="161"/>
      <c r="R48" s="161"/>
      <c r="S48" s="161"/>
      <c r="T48" s="161"/>
      <c r="U48" s="161"/>
      <c r="V48" s="161"/>
      <c r="W48" s="161"/>
      <c r="X48" s="161"/>
      <c r="Y48" s="161"/>
    </row>
    <row r="49" spans="1:25" ht="33.75" customHeight="1">
      <c r="A49" s="113">
        <f t="shared" si="0"/>
        <v>48</v>
      </c>
      <c r="B49" s="2" t="s">
        <v>4252</v>
      </c>
      <c r="C49" s="420">
        <v>38793</v>
      </c>
      <c r="D49" s="113" t="s">
        <v>4253</v>
      </c>
      <c r="E49" s="113" t="s">
        <v>4254</v>
      </c>
      <c r="F49" s="161"/>
      <c r="G49" s="161"/>
      <c r="H49" s="161"/>
      <c r="I49" s="161"/>
      <c r="J49" s="161"/>
      <c r="K49" s="161"/>
      <c r="L49" s="161"/>
      <c r="M49" s="161"/>
      <c r="N49" s="161"/>
      <c r="O49" s="161"/>
      <c r="P49" s="161"/>
      <c r="Q49" s="161"/>
      <c r="R49" s="161"/>
      <c r="S49" s="161"/>
      <c r="T49" s="161"/>
      <c r="U49" s="161"/>
      <c r="V49" s="161"/>
      <c r="W49" s="161"/>
      <c r="X49" s="161"/>
      <c r="Y49" s="161"/>
    </row>
    <row r="50" spans="1:25" ht="33.75" customHeight="1">
      <c r="A50" s="113">
        <f t="shared" si="0"/>
        <v>49</v>
      </c>
      <c r="B50" s="2" t="s">
        <v>4255</v>
      </c>
      <c r="C50" s="420">
        <v>38796</v>
      </c>
      <c r="D50" s="113" t="s">
        <v>4256</v>
      </c>
      <c r="E50" s="113" t="s">
        <v>4257</v>
      </c>
      <c r="F50" s="161"/>
      <c r="G50" s="161"/>
      <c r="H50" s="161"/>
      <c r="I50" s="161"/>
      <c r="J50" s="161"/>
      <c r="K50" s="161"/>
      <c r="L50" s="161"/>
      <c r="M50" s="161"/>
      <c r="N50" s="161"/>
      <c r="O50" s="161"/>
      <c r="P50" s="161"/>
      <c r="Q50" s="161"/>
      <c r="R50" s="161"/>
      <c r="S50" s="161"/>
      <c r="T50" s="161"/>
      <c r="U50" s="161"/>
      <c r="V50" s="161"/>
      <c r="W50" s="161"/>
      <c r="X50" s="161"/>
      <c r="Y50" s="161"/>
    </row>
    <row r="51" spans="1:25" ht="33.75" customHeight="1">
      <c r="A51" s="113">
        <f t="shared" si="0"/>
        <v>50</v>
      </c>
      <c r="B51" s="2" t="s">
        <v>4258</v>
      </c>
      <c r="C51" s="420">
        <v>38821</v>
      </c>
      <c r="D51" s="113" t="s">
        <v>4259</v>
      </c>
      <c r="E51" s="113" t="s">
        <v>4260</v>
      </c>
      <c r="F51" s="161"/>
      <c r="G51" s="161"/>
      <c r="H51" s="161"/>
      <c r="I51" s="161"/>
      <c r="J51" s="4"/>
      <c r="K51" s="161"/>
      <c r="L51" s="161"/>
      <c r="M51" s="161"/>
      <c r="N51" s="161"/>
      <c r="O51" s="161"/>
      <c r="P51" s="161"/>
      <c r="Q51" s="161"/>
      <c r="R51" s="161"/>
      <c r="S51" s="161"/>
      <c r="T51" s="161"/>
      <c r="U51" s="161"/>
      <c r="V51" s="161"/>
      <c r="W51" s="161"/>
      <c r="X51" s="161"/>
      <c r="Y51" s="161"/>
    </row>
    <row r="52" spans="1:25" ht="33.75" customHeight="1">
      <c r="A52" s="113">
        <f t="shared" si="0"/>
        <v>51</v>
      </c>
      <c r="B52" s="8" t="s">
        <v>4261</v>
      </c>
      <c r="C52" s="420">
        <v>38834</v>
      </c>
      <c r="D52" s="113" t="s">
        <v>4262</v>
      </c>
      <c r="E52" s="113" t="s">
        <v>4263</v>
      </c>
      <c r="F52" s="161"/>
      <c r="G52" s="161"/>
      <c r="H52" s="161"/>
      <c r="I52" s="161"/>
      <c r="J52" s="161"/>
      <c r="K52" s="161"/>
      <c r="L52" s="161"/>
      <c r="M52" s="161"/>
      <c r="N52" s="161"/>
      <c r="O52" s="161"/>
      <c r="P52" s="161"/>
      <c r="Q52" s="161"/>
      <c r="R52" s="161"/>
      <c r="S52" s="161"/>
      <c r="T52" s="161"/>
      <c r="U52" s="161"/>
      <c r="V52" s="161"/>
      <c r="W52" s="161"/>
      <c r="X52" s="161"/>
      <c r="Y52" s="161"/>
    </row>
    <row r="53" spans="1:25" ht="130.19999999999999" customHeight="1">
      <c r="A53" s="113">
        <f t="shared" si="0"/>
        <v>52</v>
      </c>
      <c r="B53" s="2" t="s">
        <v>4264</v>
      </c>
      <c r="C53" s="420">
        <v>38845</v>
      </c>
      <c r="D53" s="113" t="s">
        <v>4265</v>
      </c>
      <c r="E53" s="113" t="s">
        <v>4263</v>
      </c>
      <c r="F53" s="23"/>
      <c r="G53" s="23"/>
      <c r="H53" s="23"/>
      <c r="I53" s="23"/>
      <c r="J53" s="23"/>
      <c r="K53" s="23"/>
      <c r="L53" s="23"/>
      <c r="M53" s="23"/>
      <c r="N53" s="23"/>
      <c r="O53" s="23"/>
      <c r="P53" s="23"/>
      <c r="Q53" s="23"/>
      <c r="R53" s="23"/>
      <c r="S53" s="23"/>
      <c r="T53" s="23"/>
      <c r="U53" s="161"/>
      <c r="V53" s="161"/>
      <c r="W53" s="161"/>
      <c r="X53" s="161"/>
      <c r="Y53" s="161"/>
    </row>
    <row r="54" spans="1:25" ht="115.2" customHeight="1">
      <c r="A54" s="113">
        <f t="shared" si="0"/>
        <v>53</v>
      </c>
      <c r="B54" s="2" t="s">
        <v>4266</v>
      </c>
      <c r="C54" s="420">
        <v>38859</v>
      </c>
      <c r="D54" s="113" t="s">
        <v>4267</v>
      </c>
      <c r="E54" s="113" t="s">
        <v>4268</v>
      </c>
      <c r="F54" s="23"/>
      <c r="G54" s="23"/>
      <c r="H54" s="23"/>
      <c r="I54" s="23"/>
      <c r="J54" s="23"/>
      <c r="K54" s="23"/>
      <c r="L54" s="23"/>
      <c r="M54" s="23"/>
      <c r="N54" s="23"/>
      <c r="O54" s="23"/>
      <c r="P54" s="23"/>
      <c r="Q54" s="23"/>
      <c r="R54" s="23"/>
      <c r="S54" s="23"/>
      <c r="T54" s="23"/>
      <c r="U54" s="161"/>
      <c r="V54" s="161"/>
      <c r="W54" s="161"/>
      <c r="X54" s="161"/>
      <c r="Y54" s="161"/>
    </row>
    <row r="55" spans="1:25" ht="111" customHeight="1">
      <c r="A55" s="113">
        <f t="shared" si="0"/>
        <v>54</v>
      </c>
      <c r="B55" s="2" t="s">
        <v>4269</v>
      </c>
      <c r="C55" s="420">
        <v>38880</v>
      </c>
      <c r="D55" s="113" t="s">
        <v>4270</v>
      </c>
      <c r="E55" s="113" t="s">
        <v>3834</v>
      </c>
      <c r="F55" s="23"/>
      <c r="G55" s="23"/>
      <c r="H55" s="23"/>
      <c r="I55" s="23"/>
      <c r="J55" s="23"/>
      <c r="K55" s="23"/>
      <c r="L55" s="23"/>
      <c r="M55" s="23"/>
      <c r="N55" s="23"/>
      <c r="O55" s="23"/>
      <c r="P55" s="23"/>
      <c r="Q55" s="23"/>
      <c r="R55" s="23"/>
      <c r="S55" s="4"/>
      <c r="T55" s="23"/>
      <c r="U55" s="161"/>
      <c r="V55" s="161"/>
      <c r="W55" s="161"/>
      <c r="X55" s="161"/>
      <c r="Y55" s="161"/>
    </row>
    <row r="56" spans="1:25" ht="130.80000000000001" customHeight="1">
      <c r="A56" s="113">
        <f t="shared" si="0"/>
        <v>55</v>
      </c>
      <c r="B56" s="2" t="s">
        <v>4271</v>
      </c>
      <c r="C56" s="420">
        <v>38891</v>
      </c>
      <c r="D56" s="113" t="s">
        <v>4272</v>
      </c>
      <c r="E56" s="113" t="s">
        <v>4273</v>
      </c>
      <c r="F56" s="23"/>
      <c r="G56" s="23"/>
      <c r="H56" s="23"/>
      <c r="I56" s="23"/>
      <c r="J56" s="23"/>
      <c r="K56" s="23"/>
      <c r="L56" s="23"/>
      <c r="M56" s="23"/>
      <c r="N56" s="23"/>
      <c r="O56" s="23"/>
      <c r="P56" s="23"/>
      <c r="Q56" s="23"/>
      <c r="R56" s="23"/>
      <c r="S56" s="23"/>
      <c r="T56" s="23"/>
      <c r="U56" s="161"/>
      <c r="V56" s="161"/>
      <c r="W56" s="161"/>
      <c r="X56" s="161"/>
      <c r="Y56" s="161"/>
    </row>
    <row r="57" spans="1:25" ht="100.8">
      <c r="A57" s="113">
        <f t="shared" si="0"/>
        <v>56</v>
      </c>
      <c r="B57" s="2" t="s">
        <v>4274</v>
      </c>
      <c r="C57" s="420">
        <v>38901</v>
      </c>
      <c r="D57" s="113" t="s">
        <v>4275</v>
      </c>
      <c r="E57" s="113" t="s">
        <v>3731</v>
      </c>
      <c r="F57" s="23"/>
      <c r="G57" s="23"/>
      <c r="H57" s="23"/>
      <c r="I57" s="23"/>
      <c r="J57" s="23"/>
      <c r="K57" s="23"/>
      <c r="L57" s="23"/>
      <c r="M57" s="23"/>
      <c r="N57" s="23"/>
      <c r="O57" s="23"/>
      <c r="P57" s="23"/>
      <c r="Q57" s="23"/>
      <c r="R57" s="23"/>
      <c r="S57" s="23"/>
      <c r="T57" s="23"/>
      <c r="U57" s="161"/>
      <c r="V57" s="161"/>
      <c r="W57" s="161"/>
      <c r="X57" s="161"/>
      <c r="Y57" s="161"/>
    </row>
    <row r="58" spans="1:25" ht="115.2">
      <c r="A58" s="113">
        <f t="shared" si="0"/>
        <v>57</v>
      </c>
      <c r="B58" s="2" t="s">
        <v>4276</v>
      </c>
      <c r="C58" s="420">
        <v>38917</v>
      </c>
      <c r="D58" s="113" t="s">
        <v>4277</v>
      </c>
      <c r="E58" s="113" t="s">
        <v>4278</v>
      </c>
      <c r="F58" s="23"/>
      <c r="G58" s="23"/>
      <c r="H58" s="23"/>
      <c r="I58" s="23"/>
      <c r="J58" s="23"/>
      <c r="K58" s="23"/>
      <c r="L58" s="23"/>
      <c r="M58" s="23"/>
      <c r="N58" s="23"/>
      <c r="O58" s="23"/>
      <c r="P58" s="23"/>
      <c r="Q58" s="23"/>
      <c r="R58" s="23"/>
      <c r="S58" s="23"/>
      <c r="T58" s="23"/>
      <c r="U58" s="161"/>
      <c r="V58" s="161"/>
      <c r="W58" s="161"/>
      <c r="X58" s="161"/>
      <c r="Y58" s="161"/>
    </row>
    <row r="59" spans="1:25" ht="115.2">
      <c r="A59" s="113">
        <f t="shared" si="0"/>
        <v>58</v>
      </c>
      <c r="B59" s="2" t="s">
        <v>4279</v>
      </c>
      <c r="C59" s="420">
        <v>38931</v>
      </c>
      <c r="D59" s="113" t="s">
        <v>4280</v>
      </c>
      <c r="E59" s="113" t="s">
        <v>4281</v>
      </c>
      <c r="F59" s="23"/>
      <c r="G59" s="23"/>
      <c r="H59" s="23"/>
      <c r="I59" s="23"/>
      <c r="J59" s="23"/>
      <c r="K59" s="23"/>
      <c r="L59" s="23"/>
      <c r="M59" s="23"/>
      <c r="N59" s="23"/>
      <c r="O59" s="23"/>
      <c r="P59" s="23"/>
      <c r="Q59" s="23"/>
      <c r="R59" s="23"/>
      <c r="S59" s="23"/>
      <c r="T59" s="23"/>
      <c r="U59" s="161"/>
      <c r="V59" s="161"/>
      <c r="W59" s="161"/>
      <c r="X59" s="161"/>
      <c r="Y59" s="161"/>
    </row>
    <row r="60" spans="1:25" ht="100.8">
      <c r="A60" s="113">
        <f t="shared" si="0"/>
        <v>59</v>
      </c>
      <c r="B60" s="2" t="s">
        <v>4282</v>
      </c>
      <c r="C60" s="420">
        <v>39248</v>
      </c>
      <c r="D60" s="113" t="s">
        <v>4283</v>
      </c>
      <c r="E60" s="113" t="s">
        <v>4281</v>
      </c>
      <c r="F60" s="23"/>
      <c r="G60" s="23"/>
      <c r="H60" s="23"/>
      <c r="I60" s="23"/>
      <c r="J60" s="23"/>
      <c r="K60" s="161"/>
      <c r="L60" s="23"/>
      <c r="M60" s="23"/>
      <c r="N60" s="23"/>
      <c r="O60" s="23"/>
      <c r="P60" s="23"/>
      <c r="Q60" s="23"/>
      <c r="R60" s="23"/>
      <c r="S60" s="23"/>
      <c r="T60" s="23"/>
      <c r="U60" s="161"/>
      <c r="V60" s="161"/>
      <c r="W60" s="161"/>
      <c r="X60" s="161"/>
      <c r="Y60" s="161"/>
    </row>
    <row r="61" spans="1:25" ht="86.4">
      <c r="A61" s="113">
        <f t="shared" si="0"/>
        <v>60</v>
      </c>
      <c r="B61" s="2" t="s">
        <v>4284</v>
      </c>
      <c r="C61" s="420">
        <v>39265</v>
      </c>
      <c r="D61" s="113" t="s">
        <v>4285</v>
      </c>
      <c r="E61" s="113" t="s">
        <v>4260</v>
      </c>
      <c r="F61" s="23"/>
      <c r="G61" s="23"/>
      <c r="H61" s="23"/>
      <c r="I61" s="23"/>
      <c r="J61" s="23"/>
      <c r="K61" s="23"/>
      <c r="L61" s="23"/>
      <c r="M61" s="23"/>
      <c r="N61" s="23"/>
      <c r="O61" s="23"/>
      <c r="P61" s="23"/>
      <c r="Q61" s="23"/>
      <c r="R61" s="23"/>
      <c r="S61" s="23"/>
      <c r="T61" s="23"/>
      <c r="U61" s="161"/>
      <c r="V61" s="161"/>
      <c r="W61" s="161"/>
      <c r="X61" s="161"/>
      <c r="Y61" s="161"/>
    </row>
    <row r="62" spans="1:25" ht="115.2">
      <c r="A62" s="113">
        <f t="shared" si="0"/>
        <v>61</v>
      </c>
      <c r="B62" s="2" t="s">
        <v>4286</v>
      </c>
      <c r="C62" s="420">
        <v>39283</v>
      </c>
      <c r="D62" s="113" t="s">
        <v>4287</v>
      </c>
      <c r="E62" s="113" t="s">
        <v>4288</v>
      </c>
      <c r="F62" s="23"/>
      <c r="G62" s="23"/>
      <c r="H62" s="161"/>
      <c r="I62" s="23"/>
      <c r="J62" s="23"/>
      <c r="K62" s="23"/>
      <c r="L62" s="23"/>
      <c r="M62" s="23"/>
      <c r="N62" s="23"/>
      <c r="O62" s="23"/>
      <c r="P62" s="23"/>
      <c r="Q62" s="23"/>
      <c r="R62" s="23"/>
      <c r="S62" s="23"/>
      <c r="T62" s="23"/>
      <c r="U62" s="161"/>
      <c r="V62" s="161"/>
      <c r="W62" s="161"/>
      <c r="X62" s="161"/>
      <c r="Y62" s="161"/>
    </row>
    <row r="63" spans="1:25" ht="115.2">
      <c r="A63" s="113">
        <f t="shared" si="0"/>
        <v>62</v>
      </c>
      <c r="B63" s="2" t="s">
        <v>4289</v>
      </c>
      <c r="C63" s="420">
        <v>39296</v>
      </c>
      <c r="D63" s="113" t="s">
        <v>4290</v>
      </c>
      <c r="E63" s="113" t="s">
        <v>4291</v>
      </c>
      <c r="F63" s="23"/>
      <c r="G63" s="23"/>
      <c r="H63" s="23"/>
      <c r="I63" s="23"/>
      <c r="J63" s="23"/>
      <c r="K63" s="23"/>
      <c r="L63" s="23"/>
      <c r="M63" s="23"/>
      <c r="N63" s="23"/>
      <c r="O63" s="23"/>
      <c r="P63" s="23"/>
      <c r="Q63" s="23"/>
      <c r="R63" s="23"/>
      <c r="S63" s="23"/>
      <c r="T63" s="23"/>
      <c r="U63" s="161"/>
      <c r="V63" s="161"/>
      <c r="W63" s="161"/>
      <c r="X63" s="161"/>
      <c r="Y63" s="161"/>
    </row>
    <row r="64" spans="1:25" ht="72">
      <c r="A64" s="113">
        <f t="shared" si="0"/>
        <v>63</v>
      </c>
      <c r="B64" s="2" t="s">
        <v>4292</v>
      </c>
      <c r="C64" s="420">
        <v>39310</v>
      </c>
      <c r="D64" s="113" t="s">
        <v>4293</v>
      </c>
      <c r="E64" s="113" t="s">
        <v>4294</v>
      </c>
      <c r="F64" s="23"/>
      <c r="G64" s="23"/>
      <c r="H64" s="23"/>
      <c r="I64" s="23"/>
      <c r="J64" s="23"/>
      <c r="K64" s="23"/>
      <c r="L64" s="23"/>
      <c r="M64" s="23"/>
      <c r="N64" s="23"/>
      <c r="O64" s="23"/>
      <c r="P64" s="23"/>
      <c r="Q64" s="23"/>
      <c r="R64" s="23"/>
      <c r="S64" s="23"/>
      <c r="T64" s="23"/>
      <c r="U64" s="161"/>
      <c r="V64" s="161"/>
      <c r="W64" s="161"/>
      <c r="X64" s="161"/>
      <c r="Y64" s="161"/>
    </row>
    <row r="65" spans="1:25" ht="100.8">
      <c r="A65" s="113">
        <f t="shared" si="0"/>
        <v>64</v>
      </c>
      <c r="B65" s="2" t="s">
        <v>4295</v>
      </c>
      <c r="C65" s="420">
        <v>39694</v>
      </c>
      <c r="D65" s="113" t="s">
        <v>4296</v>
      </c>
      <c r="E65" s="113" t="s">
        <v>4297</v>
      </c>
      <c r="F65" s="23"/>
      <c r="G65" s="23"/>
      <c r="H65" s="23"/>
      <c r="I65" s="23"/>
      <c r="J65" s="161"/>
      <c r="K65" s="23"/>
      <c r="L65" s="23"/>
      <c r="M65" s="23"/>
      <c r="N65" s="23"/>
      <c r="O65" s="23"/>
      <c r="P65" s="23"/>
      <c r="Q65" s="23"/>
      <c r="R65" s="23"/>
      <c r="S65" s="23"/>
      <c r="T65" s="23"/>
      <c r="U65" s="161"/>
      <c r="V65" s="161"/>
      <c r="W65" s="161"/>
      <c r="X65" s="161"/>
      <c r="Y65" s="161"/>
    </row>
    <row r="66" spans="1:25" ht="86.4">
      <c r="A66" s="113">
        <f t="shared" si="0"/>
        <v>65</v>
      </c>
      <c r="B66" s="2" t="s">
        <v>4298</v>
      </c>
      <c r="C66" s="420">
        <v>39701</v>
      </c>
      <c r="D66" s="113" t="s">
        <v>4299</v>
      </c>
      <c r="E66" s="113" t="s">
        <v>4297</v>
      </c>
      <c r="F66" s="23"/>
      <c r="G66" s="23"/>
      <c r="H66" s="161"/>
      <c r="I66" s="23"/>
      <c r="J66" s="23"/>
      <c r="K66" s="23"/>
      <c r="L66" s="23"/>
      <c r="M66" s="23"/>
      <c r="N66" s="23"/>
      <c r="O66" s="23"/>
      <c r="P66" s="23"/>
      <c r="Q66" s="23"/>
      <c r="R66" s="23"/>
      <c r="S66" s="23"/>
      <c r="T66" s="23"/>
      <c r="U66" s="161"/>
      <c r="V66" s="161"/>
      <c r="W66" s="161"/>
      <c r="X66" s="161"/>
      <c r="Y66" s="161"/>
    </row>
    <row r="67" spans="1:25" ht="56.4" customHeight="1">
      <c r="A67" s="113">
        <f t="shared" si="0"/>
        <v>66</v>
      </c>
      <c r="B67" s="2" t="s">
        <v>4300</v>
      </c>
      <c r="C67" s="420">
        <v>39710</v>
      </c>
      <c r="D67" s="113" t="s">
        <v>4301</v>
      </c>
      <c r="E67" s="113" t="s">
        <v>4302</v>
      </c>
      <c r="F67" s="23"/>
      <c r="G67" s="23"/>
      <c r="H67" s="23"/>
      <c r="I67" s="23"/>
      <c r="J67" s="23"/>
      <c r="K67" s="23"/>
      <c r="L67" s="23"/>
      <c r="M67" s="23"/>
      <c r="N67" s="23"/>
      <c r="O67" s="23"/>
      <c r="P67" s="23"/>
      <c r="Q67" s="23"/>
      <c r="R67" s="23"/>
      <c r="S67" s="23"/>
      <c r="T67" s="23"/>
      <c r="U67" s="161"/>
      <c r="V67" s="161"/>
      <c r="W67" s="161"/>
      <c r="X67" s="161"/>
      <c r="Y67" s="161"/>
    </row>
    <row r="68" spans="1:25" ht="86.4">
      <c r="A68" s="113">
        <f t="shared" si="0"/>
        <v>67</v>
      </c>
      <c r="B68" s="2" t="s">
        <v>4303</v>
      </c>
      <c r="C68" s="420">
        <v>39724</v>
      </c>
      <c r="D68" s="113" t="s">
        <v>4304</v>
      </c>
      <c r="E68" s="113" t="s">
        <v>4302</v>
      </c>
      <c r="F68" s="23"/>
      <c r="G68" s="23"/>
      <c r="H68" s="23"/>
      <c r="I68" s="23"/>
      <c r="J68" s="23"/>
      <c r="K68" s="23"/>
      <c r="L68" s="23"/>
      <c r="M68" s="23"/>
      <c r="N68" s="23"/>
      <c r="O68" s="23"/>
      <c r="P68" s="23"/>
      <c r="Q68" s="23"/>
      <c r="R68" s="23"/>
      <c r="S68" s="23"/>
      <c r="T68" s="23"/>
      <c r="U68" s="161"/>
      <c r="V68" s="161"/>
      <c r="W68" s="161"/>
      <c r="X68" s="161"/>
      <c r="Y68" s="161"/>
    </row>
    <row r="69" spans="1:25" ht="129.6">
      <c r="A69" s="113">
        <f t="shared" si="0"/>
        <v>68</v>
      </c>
      <c r="B69" s="2" t="s">
        <v>4305</v>
      </c>
      <c r="C69" s="420">
        <v>39736</v>
      </c>
      <c r="D69" s="113" t="s">
        <v>4306</v>
      </c>
      <c r="E69" s="113" t="s">
        <v>4307</v>
      </c>
      <c r="F69" s="23"/>
      <c r="G69" s="23"/>
      <c r="H69" s="23"/>
      <c r="I69" s="23"/>
      <c r="J69" s="23"/>
      <c r="K69" s="23"/>
      <c r="L69" s="23"/>
      <c r="M69" s="23"/>
      <c r="N69" s="23"/>
      <c r="O69" s="23"/>
      <c r="P69" s="23"/>
      <c r="Q69" s="23"/>
      <c r="R69" s="23"/>
      <c r="S69" s="23"/>
      <c r="T69" s="23"/>
      <c r="U69" s="161"/>
      <c r="V69" s="161"/>
      <c r="W69" s="161"/>
      <c r="X69" s="161"/>
      <c r="Y69" s="161"/>
    </row>
    <row r="70" spans="1:25" ht="172.8">
      <c r="A70" s="113">
        <f t="shared" si="0"/>
        <v>69</v>
      </c>
      <c r="B70" s="2" t="s">
        <v>4308</v>
      </c>
      <c r="C70" s="420">
        <v>39755</v>
      </c>
      <c r="D70" s="113" t="s">
        <v>4309</v>
      </c>
      <c r="E70" s="113" t="s">
        <v>4302</v>
      </c>
      <c r="F70" s="23"/>
      <c r="G70" s="23"/>
      <c r="H70" s="23"/>
      <c r="I70" s="23"/>
      <c r="J70" s="23"/>
      <c r="K70" s="23"/>
      <c r="L70" s="23"/>
      <c r="M70" s="23"/>
      <c r="N70" s="23"/>
      <c r="O70" s="23"/>
      <c r="P70" s="23"/>
      <c r="Q70" s="23"/>
      <c r="R70" s="23"/>
      <c r="S70" s="23"/>
      <c r="T70" s="23"/>
      <c r="U70" s="161"/>
      <c r="V70" s="161"/>
      <c r="W70" s="161"/>
      <c r="X70" s="161"/>
      <c r="Y70" s="161"/>
    </row>
    <row r="71" spans="1:25" ht="129.6">
      <c r="A71" s="113">
        <f t="shared" si="0"/>
        <v>70</v>
      </c>
      <c r="B71" s="2" t="s">
        <v>4310</v>
      </c>
      <c r="C71" s="420">
        <v>39776</v>
      </c>
      <c r="D71" s="113" t="s">
        <v>4311</v>
      </c>
      <c r="E71" s="113" t="s">
        <v>4307</v>
      </c>
      <c r="F71" s="23"/>
      <c r="G71" s="161"/>
      <c r="H71" s="23"/>
      <c r="I71" s="23"/>
      <c r="J71" s="23"/>
      <c r="K71" s="23"/>
      <c r="L71" s="23"/>
      <c r="M71" s="23"/>
      <c r="N71" s="23"/>
      <c r="O71" s="23"/>
      <c r="P71" s="23"/>
      <c r="Q71" s="23"/>
      <c r="R71" s="23"/>
      <c r="S71" s="23"/>
      <c r="T71" s="23"/>
      <c r="U71" s="161"/>
      <c r="V71" s="161"/>
      <c r="W71" s="161"/>
      <c r="X71" s="161"/>
      <c r="Y71" s="161"/>
    </row>
    <row r="72" spans="1:25" ht="86.4">
      <c r="A72" s="113">
        <f t="shared" si="0"/>
        <v>71</v>
      </c>
      <c r="B72" s="2" t="s">
        <v>4312</v>
      </c>
      <c r="C72" s="420">
        <v>39784</v>
      </c>
      <c r="D72" s="113" t="s">
        <v>4313</v>
      </c>
      <c r="E72" s="113" t="s">
        <v>4307</v>
      </c>
      <c r="F72" s="23"/>
      <c r="G72" s="23"/>
      <c r="H72" s="23"/>
      <c r="I72" s="23"/>
      <c r="J72" s="23"/>
      <c r="K72" s="23"/>
      <c r="L72" s="23"/>
      <c r="M72" s="23"/>
      <c r="N72" s="23"/>
      <c r="O72" s="23"/>
      <c r="P72" s="23"/>
      <c r="Q72" s="23"/>
      <c r="R72" s="23"/>
      <c r="S72" s="23"/>
      <c r="T72" s="23"/>
      <c r="U72" s="161"/>
      <c r="V72" s="161"/>
      <c r="W72" s="161"/>
      <c r="X72" s="161"/>
      <c r="Y72" s="161"/>
    </row>
    <row r="73" spans="1:25" ht="129.6">
      <c r="A73" s="113">
        <f t="shared" si="0"/>
        <v>72</v>
      </c>
      <c r="B73" s="2" t="s">
        <v>4314</v>
      </c>
      <c r="C73" s="420">
        <v>40036</v>
      </c>
      <c r="D73" s="113" t="s">
        <v>4315</v>
      </c>
      <c r="E73" s="113" t="s">
        <v>4316</v>
      </c>
      <c r="F73" s="23"/>
      <c r="G73" s="23"/>
      <c r="H73" s="23"/>
      <c r="I73" s="23"/>
      <c r="J73" s="161"/>
      <c r="K73" s="23"/>
      <c r="L73" s="23"/>
      <c r="M73" s="23"/>
      <c r="N73" s="23"/>
      <c r="O73" s="23"/>
      <c r="P73" s="23"/>
      <c r="Q73" s="23"/>
      <c r="R73" s="23"/>
      <c r="S73" s="23"/>
      <c r="T73" s="23"/>
      <c r="U73" s="161"/>
      <c r="V73" s="161"/>
      <c r="W73" s="161"/>
      <c r="X73" s="161"/>
      <c r="Y73" s="161"/>
    </row>
    <row r="74" spans="1:25" ht="72">
      <c r="A74" s="113">
        <f t="shared" si="0"/>
        <v>73</v>
      </c>
      <c r="B74" s="2" t="s">
        <v>4317</v>
      </c>
      <c r="C74" s="420">
        <v>40087</v>
      </c>
      <c r="D74" s="113" t="s">
        <v>4318</v>
      </c>
      <c r="E74" s="113" t="s">
        <v>4319</v>
      </c>
      <c r="F74" s="23"/>
      <c r="G74" s="23"/>
      <c r="H74" s="23"/>
      <c r="I74" s="23"/>
      <c r="J74" s="23"/>
      <c r="K74" s="23"/>
      <c r="L74" s="23"/>
      <c r="M74" s="23"/>
      <c r="N74" s="23"/>
      <c r="O74" s="23"/>
      <c r="P74" s="23"/>
      <c r="Q74" s="23"/>
      <c r="R74" s="23"/>
      <c r="S74" s="23"/>
      <c r="T74" s="23"/>
      <c r="U74" s="161"/>
      <c r="V74" s="161"/>
      <c r="W74" s="161"/>
      <c r="X74" s="161"/>
      <c r="Y74" s="161"/>
    </row>
    <row r="75" spans="1:25" ht="86.4">
      <c r="A75" s="113">
        <f t="shared" si="0"/>
        <v>74</v>
      </c>
      <c r="B75" s="2" t="s">
        <v>4320</v>
      </c>
      <c r="C75" s="420">
        <v>40088</v>
      </c>
      <c r="D75" s="113" t="s">
        <v>4321</v>
      </c>
      <c r="E75" s="113" t="s">
        <v>4319</v>
      </c>
      <c r="F75" s="23"/>
      <c r="G75" s="23"/>
      <c r="H75" s="23"/>
      <c r="I75" s="23"/>
      <c r="J75" s="23"/>
      <c r="K75" s="23"/>
      <c r="L75" s="23"/>
      <c r="M75" s="23"/>
      <c r="N75" s="23"/>
      <c r="O75" s="23"/>
      <c r="P75" s="23"/>
      <c r="Q75" s="23"/>
      <c r="R75" s="23"/>
      <c r="S75" s="23"/>
      <c r="T75" s="23"/>
      <c r="U75" s="161"/>
      <c r="V75" s="161"/>
      <c r="W75" s="161"/>
      <c r="X75" s="161"/>
      <c r="Y75" s="161"/>
    </row>
    <row r="76" spans="1:25" ht="86.4">
      <c r="A76" s="113">
        <f t="shared" si="0"/>
        <v>75</v>
      </c>
      <c r="B76" s="2" t="s">
        <v>4322</v>
      </c>
      <c r="C76" s="420">
        <v>40093</v>
      </c>
      <c r="D76" s="113" t="s">
        <v>4323</v>
      </c>
      <c r="E76" s="113" t="s">
        <v>4324</v>
      </c>
      <c r="F76" s="23"/>
      <c r="G76" s="23"/>
      <c r="H76" s="23"/>
      <c r="I76" s="23"/>
      <c r="J76" s="23"/>
      <c r="K76" s="23"/>
      <c r="L76" s="23"/>
      <c r="M76" s="23"/>
      <c r="N76" s="23"/>
      <c r="O76" s="23"/>
      <c r="P76" s="23"/>
      <c r="Q76" s="23"/>
      <c r="R76" s="23"/>
      <c r="S76" s="23"/>
      <c r="T76" s="23"/>
      <c r="U76" s="161"/>
      <c r="V76" s="161"/>
      <c r="W76" s="161"/>
      <c r="X76" s="161"/>
      <c r="Y76" s="161"/>
    </row>
    <row r="77" spans="1:25" ht="100.8">
      <c r="A77" s="113">
        <f t="shared" si="0"/>
        <v>76</v>
      </c>
      <c r="B77" s="2" t="s">
        <v>4325</v>
      </c>
      <c r="C77" s="420">
        <v>40105</v>
      </c>
      <c r="D77" s="113" t="s">
        <v>4326</v>
      </c>
      <c r="E77" s="113" t="s">
        <v>4327</v>
      </c>
      <c r="F77" s="23"/>
      <c r="G77" s="23"/>
      <c r="H77" s="23"/>
      <c r="I77" s="23"/>
      <c r="J77" s="23"/>
      <c r="K77" s="23"/>
      <c r="L77" s="23"/>
      <c r="M77" s="23"/>
      <c r="N77" s="23"/>
      <c r="O77" s="23"/>
      <c r="P77" s="23"/>
      <c r="Q77" s="23"/>
      <c r="R77" s="23"/>
      <c r="S77" s="23"/>
      <c r="T77" s="23"/>
      <c r="U77" s="161"/>
      <c r="V77" s="161"/>
      <c r="W77" s="161"/>
      <c r="X77" s="161"/>
      <c r="Y77" s="161"/>
    </row>
    <row r="78" spans="1:25" ht="57.6">
      <c r="A78" s="113">
        <f t="shared" si="0"/>
        <v>77</v>
      </c>
      <c r="B78" s="2" t="s">
        <v>4328</v>
      </c>
      <c r="C78" s="420">
        <v>40183</v>
      </c>
      <c r="D78" s="113" t="s">
        <v>4329</v>
      </c>
      <c r="E78" s="113" t="s">
        <v>3810</v>
      </c>
      <c r="F78" s="23"/>
      <c r="G78" s="23"/>
      <c r="H78" s="23"/>
      <c r="I78" s="23"/>
      <c r="J78" s="23"/>
      <c r="K78" s="161"/>
      <c r="L78" s="23"/>
      <c r="M78" s="23"/>
      <c r="N78" s="23"/>
      <c r="O78" s="23"/>
      <c r="P78" s="23"/>
      <c r="Q78" s="23"/>
      <c r="R78" s="23"/>
      <c r="S78" s="23"/>
      <c r="T78" s="23"/>
      <c r="U78" s="161"/>
      <c r="V78" s="161"/>
      <c r="W78" s="161"/>
      <c r="X78" s="161"/>
      <c r="Y78" s="161"/>
    </row>
    <row r="79" spans="1:25" ht="72">
      <c r="A79" s="113">
        <f t="shared" si="0"/>
        <v>78</v>
      </c>
      <c r="B79" s="2" t="s">
        <v>4330</v>
      </c>
      <c r="C79" s="420">
        <v>40274</v>
      </c>
      <c r="D79" s="113" t="s">
        <v>4331</v>
      </c>
      <c r="E79" s="113" t="s">
        <v>227</v>
      </c>
      <c r="F79" s="23"/>
      <c r="G79" s="23"/>
      <c r="H79" s="23"/>
      <c r="I79" s="23"/>
      <c r="J79" s="23"/>
      <c r="K79" s="23"/>
      <c r="L79" s="23"/>
      <c r="M79" s="23"/>
      <c r="N79" s="23"/>
      <c r="O79" s="23"/>
      <c r="P79" s="23"/>
      <c r="Q79" s="23"/>
      <c r="R79" s="23"/>
      <c r="S79" s="23"/>
      <c r="T79" s="23"/>
      <c r="U79" s="161"/>
      <c r="V79" s="161"/>
      <c r="W79" s="161"/>
      <c r="X79" s="161"/>
      <c r="Y79" s="161"/>
    </row>
    <row r="80" spans="1:25" ht="86.4">
      <c r="A80" s="113">
        <f t="shared" si="0"/>
        <v>79</v>
      </c>
      <c r="B80" s="2" t="s">
        <v>4332</v>
      </c>
      <c r="C80" s="420">
        <v>40302</v>
      </c>
      <c r="D80" s="113" t="s">
        <v>4333</v>
      </c>
      <c r="E80" s="113" t="s">
        <v>4334</v>
      </c>
      <c r="F80" s="23"/>
      <c r="G80" s="23"/>
      <c r="H80" s="23"/>
      <c r="I80" s="23"/>
      <c r="J80" s="23"/>
      <c r="K80" s="23"/>
      <c r="L80" s="23"/>
      <c r="M80" s="23"/>
      <c r="N80" s="23"/>
      <c r="O80" s="23"/>
      <c r="P80" s="23"/>
      <c r="Q80" s="23"/>
      <c r="R80" s="23"/>
      <c r="S80" s="23"/>
      <c r="T80" s="23"/>
      <c r="U80" s="161"/>
      <c r="V80" s="161"/>
      <c r="W80" s="161"/>
      <c r="X80" s="161"/>
      <c r="Y80" s="161"/>
    </row>
    <row r="81" spans="1:25" ht="57.6">
      <c r="A81" s="113">
        <f t="shared" si="0"/>
        <v>80</v>
      </c>
      <c r="B81" s="2" t="s">
        <v>4335</v>
      </c>
      <c r="C81" s="420">
        <v>40304</v>
      </c>
      <c r="D81" s="113" t="s">
        <v>4336</v>
      </c>
      <c r="E81" s="113" t="s">
        <v>4334</v>
      </c>
      <c r="F81" s="23"/>
      <c r="G81" s="23"/>
      <c r="H81" s="23"/>
      <c r="I81" s="23"/>
      <c r="J81" s="23"/>
      <c r="K81" s="23"/>
      <c r="L81" s="23"/>
      <c r="M81" s="23"/>
      <c r="N81" s="23"/>
      <c r="O81" s="23"/>
      <c r="P81" s="23"/>
      <c r="Q81" s="23"/>
      <c r="R81" s="23"/>
      <c r="S81" s="23"/>
      <c r="T81" s="23"/>
      <c r="U81" s="161"/>
      <c r="V81" s="161"/>
      <c r="W81" s="161"/>
      <c r="X81" s="161"/>
      <c r="Y81" s="161"/>
    </row>
    <row r="82" spans="1:25" ht="43.2">
      <c r="A82" s="113">
        <f t="shared" si="0"/>
        <v>81</v>
      </c>
      <c r="B82" s="2" t="s">
        <v>4337</v>
      </c>
      <c r="C82" s="420">
        <v>40309</v>
      </c>
      <c r="D82" s="113" t="s">
        <v>4338</v>
      </c>
      <c r="E82" s="113" t="s">
        <v>227</v>
      </c>
      <c r="F82" s="23"/>
      <c r="G82" s="23"/>
      <c r="H82" s="23"/>
      <c r="I82" s="23"/>
      <c r="J82" s="23"/>
      <c r="K82" s="23"/>
      <c r="L82" s="23"/>
      <c r="M82" s="23"/>
      <c r="N82" s="23"/>
      <c r="O82" s="23"/>
      <c r="P82" s="23"/>
      <c r="Q82" s="23"/>
      <c r="R82" s="23"/>
      <c r="S82" s="23"/>
      <c r="T82" s="23"/>
      <c r="U82" s="161"/>
      <c r="V82" s="161"/>
      <c r="W82" s="161"/>
      <c r="X82" s="161"/>
      <c r="Y82" s="161"/>
    </row>
    <row r="83" spans="1:25" ht="57.6">
      <c r="A83" s="113">
        <f t="shared" si="0"/>
        <v>82</v>
      </c>
      <c r="B83" s="2" t="s">
        <v>4339</v>
      </c>
      <c r="C83" s="420">
        <v>40311</v>
      </c>
      <c r="D83" s="113" t="s">
        <v>4340</v>
      </c>
      <c r="E83" s="113" t="s">
        <v>227</v>
      </c>
      <c r="F83" s="23"/>
      <c r="G83" s="23"/>
      <c r="H83" s="23"/>
      <c r="I83" s="23"/>
      <c r="J83" s="23"/>
      <c r="K83" s="23"/>
      <c r="L83" s="23"/>
      <c r="M83" s="23"/>
      <c r="N83" s="23"/>
      <c r="O83" s="23"/>
      <c r="P83" s="23"/>
      <c r="Q83" s="23"/>
      <c r="R83" s="23"/>
      <c r="S83" s="23"/>
      <c r="T83" s="23"/>
      <c r="U83" s="161"/>
      <c r="V83" s="161"/>
      <c r="W83" s="161"/>
      <c r="X83" s="161"/>
      <c r="Y83" s="161"/>
    </row>
    <row r="84" spans="1:25" ht="33.75" customHeight="1">
      <c r="A84" s="113">
        <f t="shared" si="0"/>
        <v>83</v>
      </c>
      <c r="B84" s="2" t="s">
        <v>4341</v>
      </c>
      <c r="C84" s="420">
        <v>40315</v>
      </c>
      <c r="D84" s="113" t="s">
        <v>4342</v>
      </c>
      <c r="E84" s="113" t="s">
        <v>4334</v>
      </c>
      <c r="F84" s="23"/>
      <c r="G84" s="23"/>
      <c r="H84" s="23"/>
      <c r="I84" s="23"/>
      <c r="J84" s="23"/>
      <c r="K84" s="23"/>
      <c r="L84" s="23"/>
      <c r="M84" s="23"/>
      <c r="N84" s="23"/>
      <c r="O84" s="23"/>
      <c r="P84" s="23"/>
      <c r="Q84" s="23"/>
      <c r="R84" s="23"/>
      <c r="S84" s="23"/>
      <c r="T84" s="23"/>
      <c r="U84" s="161"/>
      <c r="V84" s="161"/>
      <c r="W84" s="161"/>
      <c r="X84" s="161"/>
      <c r="Y84" s="161"/>
    </row>
    <row r="85" spans="1:25" ht="33.75" customHeight="1">
      <c r="A85" s="113">
        <f t="shared" si="0"/>
        <v>84</v>
      </c>
      <c r="B85" s="2" t="s">
        <v>4343</v>
      </c>
      <c r="C85" s="420">
        <v>40365</v>
      </c>
      <c r="D85" s="113" t="s">
        <v>4344</v>
      </c>
      <c r="E85" s="113" t="s">
        <v>4345</v>
      </c>
      <c r="F85" s="23"/>
      <c r="G85" s="23"/>
      <c r="H85" s="23"/>
      <c r="I85" s="161"/>
      <c r="J85" s="23"/>
      <c r="K85" s="23"/>
      <c r="L85" s="23"/>
      <c r="M85" s="23"/>
      <c r="N85" s="23"/>
      <c r="O85" s="23"/>
      <c r="P85" s="23"/>
      <c r="Q85" s="23"/>
      <c r="R85" s="23"/>
      <c r="S85" s="23"/>
      <c r="T85" s="23"/>
      <c r="U85" s="161"/>
      <c r="V85" s="161"/>
      <c r="W85" s="161"/>
      <c r="X85" s="161"/>
      <c r="Y85" s="161"/>
    </row>
    <row r="86" spans="1:25" ht="33.75" customHeight="1">
      <c r="A86" s="113">
        <f t="shared" si="0"/>
        <v>85</v>
      </c>
      <c r="B86" s="2" t="s">
        <v>4346</v>
      </c>
      <c r="C86" s="420">
        <v>40374</v>
      </c>
      <c r="D86" s="113" t="s">
        <v>4347</v>
      </c>
      <c r="E86" s="113" t="s">
        <v>4348</v>
      </c>
      <c r="F86" s="23"/>
      <c r="G86" s="23"/>
      <c r="H86" s="23"/>
      <c r="I86" s="23"/>
      <c r="J86" s="23"/>
      <c r="K86" s="23"/>
      <c r="L86" s="23"/>
      <c r="M86" s="23"/>
      <c r="N86" s="23"/>
      <c r="O86" s="23"/>
      <c r="P86" s="23"/>
      <c r="Q86" s="23"/>
      <c r="R86" s="23"/>
      <c r="S86" s="23"/>
      <c r="T86" s="23"/>
      <c r="U86" s="161"/>
      <c r="V86" s="161"/>
      <c r="W86" s="161"/>
      <c r="X86" s="161"/>
      <c r="Y86" s="161"/>
    </row>
    <row r="87" spans="1:25" ht="158.4">
      <c r="A87" s="113">
        <f t="shared" si="0"/>
        <v>86</v>
      </c>
      <c r="B87" s="2" t="s">
        <v>4349</v>
      </c>
      <c r="C87" s="420">
        <v>40394</v>
      </c>
      <c r="D87" s="113" t="s">
        <v>4350</v>
      </c>
      <c r="E87" s="113" t="s">
        <v>4351</v>
      </c>
      <c r="F87" s="23"/>
      <c r="G87" s="23"/>
      <c r="H87" s="23"/>
      <c r="I87" s="23"/>
      <c r="J87" s="23"/>
      <c r="K87" s="23"/>
      <c r="L87" s="23"/>
      <c r="M87" s="23"/>
      <c r="N87" s="23"/>
      <c r="O87" s="23"/>
      <c r="P87" s="23"/>
      <c r="Q87" s="23"/>
      <c r="R87" s="23"/>
      <c r="S87" s="23"/>
      <c r="T87" s="23"/>
      <c r="U87" s="161"/>
      <c r="V87" s="161"/>
      <c r="W87" s="161"/>
      <c r="X87" s="161"/>
      <c r="Y87" s="161"/>
    </row>
    <row r="88" spans="1:25" ht="230.4">
      <c r="A88" s="113">
        <f t="shared" si="0"/>
        <v>87</v>
      </c>
      <c r="B88" s="2" t="s">
        <v>4352</v>
      </c>
      <c r="C88" s="420">
        <v>40396</v>
      </c>
      <c r="D88" s="113" t="s">
        <v>4353</v>
      </c>
      <c r="E88" s="113" t="s">
        <v>4351</v>
      </c>
      <c r="F88" s="23"/>
      <c r="G88" s="23"/>
      <c r="H88" s="23"/>
      <c r="I88" s="23"/>
      <c r="J88" s="23"/>
      <c r="K88" s="23"/>
      <c r="L88" s="23"/>
      <c r="M88" s="23"/>
      <c r="N88" s="23"/>
      <c r="O88" s="23"/>
      <c r="P88" s="23"/>
      <c r="Q88" s="23"/>
      <c r="R88" s="23"/>
      <c r="S88" s="23"/>
      <c r="T88" s="23"/>
      <c r="U88" s="161"/>
      <c r="V88" s="161"/>
      <c r="W88" s="161"/>
      <c r="X88" s="161"/>
      <c r="Y88" s="161"/>
    </row>
    <row r="89" spans="1:25" ht="259.2">
      <c r="A89" s="113">
        <f t="shared" si="0"/>
        <v>88</v>
      </c>
      <c r="B89" s="2" t="s">
        <v>4354</v>
      </c>
      <c r="C89" s="420">
        <v>40401</v>
      </c>
      <c r="D89" s="113" t="s">
        <v>4355</v>
      </c>
      <c r="E89" s="113" t="s">
        <v>4356</v>
      </c>
      <c r="F89" s="23"/>
      <c r="G89" s="23"/>
      <c r="H89" s="23"/>
      <c r="I89" s="23"/>
      <c r="J89" s="23"/>
      <c r="K89" s="23"/>
      <c r="L89" s="23"/>
      <c r="M89" s="23"/>
      <c r="N89" s="23"/>
      <c r="O89" s="23"/>
      <c r="P89" s="23"/>
      <c r="Q89" s="23"/>
      <c r="R89" s="23"/>
      <c r="S89" s="23"/>
      <c r="T89" s="23"/>
      <c r="U89" s="161"/>
      <c r="V89" s="161"/>
      <c r="W89" s="161"/>
      <c r="X89" s="161"/>
      <c r="Y89" s="161"/>
    </row>
    <row r="90" spans="1:25" ht="316.8">
      <c r="A90" s="113">
        <f t="shared" si="0"/>
        <v>89</v>
      </c>
      <c r="B90" s="2" t="s">
        <v>4357</v>
      </c>
      <c r="C90" s="420">
        <v>40406</v>
      </c>
      <c r="D90" s="113" t="s">
        <v>4358</v>
      </c>
      <c r="E90" s="113" t="s">
        <v>4359</v>
      </c>
      <c r="F90" s="23"/>
      <c r="G90" s="23"/>
      <c r="H90" s="23"/>
      <c r="I90" s="23"/>
      <c r="J90" s="23"/>
      <c r="K90" s="161"/>
      <c r="L90" s="23"/>
      <c r="M90" s="23"/>
      <c r="N90" s="23"/>
      <c r="O90" s="23"/>
      <c r="P90" s="23"/>
      <c r="Q90" s="23"/>
      <c r="R90" s="23"/>
      <c r="S90" s="23"/>
      <c r="T90" s="23"/>
      <c r="U90" s="161"/>
      <c r="V90" s="161"/>
      <c r="W90" s="161"/>
      <c r="X90" s="161"/>
      <c r="Y90" s="161"/>
    </row>
    <row r="91" spans="1:25" ht="273.60000000000002">
      <c r="A91" s="113">
        <f t="shared" si="0"/>
        <v>90</v>
      </c>
      <c r="B91" s="2" t="s">
        <v>4360</v>
      </c>
      <c r="C91" s="420">
        <v>40412</v>
      </c>
      <c r="D91" s="113" t="s">
        <v>4361</v>
      </c>
      <c r="E91" s="113" t="s">
        <v>4359</v>
      </c>
      <c r="F91" s="23"/>
      <c r="G91" s="23"/>
      <c r="H91" s="23"/>
      <c r="I91" s="23"/>
      <c r="J91" s="23"/>
      <c r="K91" s="23"/>
      <c r="L91" s="23"/>
      <c r="M91" s="23"/>
      <c r="N91" s="23"/>
      <c r="O91" s="23"/>
      <c r="P91" s="23"/>
      <c r="Q91" s="23"/>
      <c r="R91" s="23"/>
      <c r="S91" s="23"/>
      <c r="T91" s="23"/>
      <c r="U91" s="161"/>
      <c r="V91" s="161"/>
      <c r="W91" s="161"/>
      <c r="X91" s="161"/>
      <c r="Y91" s="161"/>
    </row>
    <row r="92" spans="1:25" ht="216">
      <c r="A92" s="113">
        <f t="shared" si="0"/>
        <v>91</v>
      </c>
      <c r="B92" s="2" t="s">
        <v>4362</v>
      </c>
      <c r="C92" s="420">
        <v>40416</v>
      </c>
      <c r="D92" s="113" t="s">
        <v>4363</v>
      </c>
      <c r="E92" s="113" t="s">
        <v>1532</v>
      </c>
      <c r="F92" s="23"/>
      <c r="G92" s="23"/>
      <c r="H92" s="23"/>
      <c r="I92" s="23"/>
      <c r="J92" s="23"/>
      <c r="K92" s="23"/>
      <c r="L92" s="23"/>
      <c r="M92" s="23"/>
      <c r="N92" s="23"/>
      <c r="O92" s="23"/>
      <c r="P92" s="23"/>
      <c r="Q92" s="23"/>
      <c r="R92" s="23"/>
      <c r="S92" s="23"/>
      <c r="T92" s="23"/>
      <c r="U92" s="161"/>
      <c r="V92" s="161"/>
      <c r="W92" s="161"/>
      <c r="X92" s="161"/>
      <c r="Y92" s="161"/>
    </row>
    <row r="93" spans="1:25" ht="57.6">
      <c r="A93" s="113">
        <f t="shared" si="0"/>
        <v>92</v>
      </c>
      <c r="B93" s="2" t="s">
        <v>4364</v>
      </c>
      <c r="C93" s="420">
        <v>40435</v>
      </c>
      <c r="D93" s="113" t="s">
        <v>4365</v>
      </c>
      <c r="E93" s="113" t="s">
        <v>4366</v>
      </c>
      <c r="F93" s="23"/>
      <c r="G93" s="23"/>
      <c r="H93" s="23"/>
      <c r="I93" s="23"/>
      <c r="J93" s="23"/>
      <c r="K93" s="23"/>
      <c r="L93" s="23"/>
      <c r="M93" s="23"/>
      <c r="N93" s="23"/>
      <c r="O93" s="23"/>
      <c r="P93" s="23"/>
      <c r="Q93" s="23"/>
      <c r="R93" s="23"/>
      <c r="S93" s="23"/>
      <c r="T93" s="23"/>
      <c r="U93" s="161"/>
      <c r="V93" s="161"/>
      <c r="W93" s="161"/>
      <c r="X93" s="161"/>
      <c r="Y93" s="161"/>
    </row>
    <row r="94" spans="1:25" ht="144">
      <c r="A94" s="113">
        <f t="shared" si="0"/>
        <v>93</v>
      </c>
      <c r="B94" s="2" t="s">
        <v>4367</v>
      </c>
      <c r="C94" s="420">
        <v>40672</v>
      </c>
      <c r="D94" s="113" t="s">
        <v>4368</v>
      </c>
      <c r="E94" s="113" t="s">
        <v>4369</v>
      </c>
      <c r="F94" s="23"/>
      <c r="G94" s="23"/>
      <c r="H94" s="23"/>
      <c r="I94" s="23"/>
      <c r="J94" s="23"/>
      <c r="K94" s="23"/>
      <c r="L94" s="23"/>
      <c r="M94" s="23"/>
      <c r="N94" s="23"/>
      <c r="O94" s="23"/>
      <c r="P94" s="23"/>
      <c r="Q94" s="23"/>
      <c r="R94" s="23"/>
      <c r="S94" s="23"/>
      <c r="T94" s="23"/>
      <c r="U94" s="161"/>
      <c r="V94" s="161"/>
      <c r="W94" s="161"/>
      <c r="X94" s="161"/>
      <c r="Y94" s="161"/>
    </row>
    <row r="95" spans="1:25" ht="100.8">
      <c r="A95" s="113">
        <f t="shared" si="0"/>
        <v>94</v>
      </c>
      <c r="B95" s="2" t="s">
        <v>4370</v>
      </c>
      <c r="C95" s="420">
        <v>40674</v>
      </c>
      <c r="D95" s="113" t="s">
        <v>4371</v>
      </c>
      <c r="E95" s="113" t="s">
        <v>4369</v>
      </c>
      <c r="F95" s="23"/>
      <c r="G95" s="23"/>
      <c r="H95" s="23"/>
      <c r="I95" s="23"/>
      <c r="J95" s="23"/>
      <c r="K95" s="23"/>
      <c r="L95" s="23"/>
      <c r="M95" s="23"/>
      <c r="N95" s="23"/>
      <c r="O95" s="23"/>
      <c r="P95" s="23"/>
      <c r="Q95" s="23"/>
      <c r="R95" s="23"/>
      <c r="S95" s="23"/>
      <c r="T95" s="23"/>
      <c r="U95" s="161"/>
      <c r="V95" s="161"/>
      <c r="W95" s="161"/>
      <c r="X95" s="161"/>
      <c r="Y95" s="161"/>
    </row>
    <row r="96" spans="1:25" ht="72">
      <c r="A96" s="113">
        <f t="shared" si="0"/>
        <v>95</v>
      </c>
      <c r="B96" s="2" t="s">
        <v>4372</v>
      </c>
      <c r="C96" s="420">
        <v>40679</v>
      </c>
      <c r="D96" s="113" t="s">
        <v>4373</v>
      </c>
      <c r="E96" s="113" t="s">
        <v>4369</v>
      </c>
      <c r="F96" s="23"/>
      <c r="G96" s="23"/>
      <c r="H96" s="23"/>
      <c r="I96" s="23"/>
      <c r="J96" s="23"/>
      <c r="K96" s="23"/>
      <c r="L96" s="23"/>
      <c r="M96" s="23"/>
      <c r="N96" s="23"/>
      <c r="O96" s="23"/>
      <c r="P96" s="23"/>
      <c r="Q96" s="23"/>
      <c r="R96" s="23"/>
      <c r="S96" s="23"/>
      <c r="T96" s="23"/>
      <c r="U96" s="161"/>
      <c r="V96" s="161"/>
      <c r="W96" s="161"/>
      <c r="X96" s="161"/>
      <c r="Y96" s="161"/>
    </row>
    <row r="97" spans="1:25" ht="86.4">
      <c r="A97" s="113">
        <f t="shared" si="0"/>
        <v>96</v>
      </c>
      <c r="B97" s="2" t="s">
        <v>4374</v>
      </c>
      <c r="C97" s="420">
        <v>40682</v>
      </c>
      <c r="D97" s="113" t="s">
        <v>4375</v>
      </c>
      <c r="E97" s="113" t="s">
        <v>4376</v>
      </c>
      <c r="F97" s="23"/>
      <c r="G97" s="23"/>
      <c r="H97" s="23"/>
      <c r="I97" s="23"/>
      <c r="J97" s="23"/>
      <c r="K97" s="23"/>
      <c r="L97" s="23"/>
      <c r="M97" s="23"/>
      <c r="N97" s="23"/>
      <c r="O97" s="23"/>
      <c r="P97" s="23"/>
      <c r="Q97" s="23"/>
      <c r="R97" s="23"/>
      <c r="S97" s="23"/>
      <c r="T97" s="23"/>
      <c r="U97" s="161"/>
      <c r="V97" s="161"/>
      <c r="W97" s="161"/>
      <c r="X97" s="161"/>
      <c r="Y97" s="161"/>
    </row>
    <row r="98" spans="1:25" ht="172.8">
      <c r="A98" s="113">
        <f t="shared" si="0"/>
        <v>97</v>
      </c>
      <c r="B98" s="2" t="s">
        <v>4377</v>
      </c>
      <c r="C98" s="420">
        <v>40729</v>
      </c>
      <c r="D98" s="113" t="s">
        <v>4378</v>
      </c>
      <c r="E98" s="113" t="s">
        <v>4379</v>
      </c>
      <c r="F98" s="23"/>
      <c r="G98" s="23"/>
      <c r="H98" s="23"/>
      <c r="I98" s="23"/>
      <c r="J98" s="23"/>
      <c r="K98" s="23"/>
      <c r="L98" s="23"/>
      <c r="M98" s="23"/>
      <c r="N98" s="23"/>
      <c r="O98" s="23"/>
      <c r="P98" s="23"/>
      <c r="Q98" s="23"/>
      <c r="R98" s="23"/>
      <c r="S98" s="23"/>
      <c r="T98" s="23"/>
      <c r="U98" s="161"/>
      <c r="V98" s="161"/>
      <c r="W98" s="161"/>
      <c r="X98" s="161"/>
      <c r="Y98" s="161"/>
    </row>
    <row r="99" spans="1:25" ht="144">
      <c r="A99" s="113">
        <f t="shared" si="0"/>
        <v>98</v>
      </c>
      <c r="B99" s="2" t="s">
        <v>4380</v>
      </c>
      <c r="C99" s="420">
        <v>40732</v>
      </c>
      <c r="D99" s="113" t="s">
        <v>4381</v>
      </c>
      <c r="E99" s="113" t="s">
        <v>4379</v>
      </c>
      <c r="F99" s="23"/>
      <c r="G99" s="23"/>
      <c r="H99" s="23"/>
      <c r="I99" s="23"/>
      <c r="J99" s="23"/>
      <c r="K99" s="23"/>
      <c r="L99" s="23"/>
      <c r="M99" s="23"/>
      <c r="N99" s="23"/>
      <c r="O99" s="23"/>
      <c r="P99" s="23"/>
      <c r="Q99" s="23"/>
      <c r="R99" s="23"/>
      <c r="S99" s="23"/>
      <c r="T99" s="23"/>
      <c r="U99" s="161"/>
      <c r="V99" s="161"/>
      <c r="W99" s="161"/>
      <c r="X99" s="161"/>
      <c r="Y99" s="161"/>
    </row>
    <row r="100" spans="1:25" ht="144">
      <c r="A100" s="113">
        <f t="shared" si="0"/>
        <v>99</v>
      </c>
      <c r="B100" s="2" t="s">
        <v>4382</v>
      </c>
      <c r="C100" s="413">
        <f>DATE(2011,7,18)</f>
        <v>40742</v>
      </c>
      <c r="D100" s="113" t="s">
        <v>4383</v>
      </c>
      <c r="E100" s="113" t="s">
        <v>4379</v>
      </c>
      <c r="F100" s="23"/>
      <c r="G100" s="23"/>
      <c r="H100" s="23"/>
      <c r="I100" s="23"/>
      <c r="J100" s="23"/>
      <c r="K100" s="23"/>
      <c r="L100" s="23"/>
      <c r="M100" s="23"/>
      <c r="N100" s="23"/>
      <c r="O100" s="23"/>
      <c r="P100" s="23"/>
      <c r="Q100" s="23"/>
      <c r="R100" s="23"/>
      <c r="S100" s="23"/>
      <c r="T100" s="23"/>
      <c r="U100" s="161"/>
      <c r="V100" s="161"/>
      <c r="W100" s="161"/>
      <c r="X100" s="161"/>
      <c r="Y100" s="161"/>
    </row>
    <row r="101" spans="1:25" ht="187.2">
      <c r="A101" s="113">
        <f t="shared" si="0"/>
        <v>100</v>
      </c>
      <c r="B101" s="2" t="s">
        <v>4384</v>
      </c>
      <c r="C101" s="420">
        <v>40745</v>
      </c>
      <c r="D101" s="113" t="s">
        <v>4385</v>
      </c>
      <c r="E101" s="113" t="s">
        <v>4386</v>
      </c>
      <c r="F101" s="23"/>
      <c r="G101" s="23"/>
      <c r="H101" s="23"/>
      <c r="I101" s="23"/>
      <c r="J101" s="23"/>
      <c r="K101" s="23"/>
      <c r="L101" s="23"/>
      <c r="M101" s="23"/>
      <c r="N101" s="23"/>
      <c r="O101" s="23"/>
      <c r="P101" s="23"/>
      <c r="Q101" s="23"/>
      <c r="R101" s="23"/>
      <c r="S101" s="23"/>
      <c r="T101" s="23"/>
      <c r="U101" s="161"/>
      <c r="V101" s="161"/>
      <c r="W101" s="161"/>
      <c r="X101" s="161"/>
      <c r="Y101" s="161"/>
    </row>
    <row r="102" spans="1:25" ht="72">
      <c r="A102" s="113">
        <f t="shared" si="0"/>
        <v>101</v>
      </c>
      <c r="B102" s="2" t="s">
        <v>4387</v>
      </c>
      <c r="C102" s="420">
        <v>40798</v>
      </c>
      <c r="D102" s="113" t="s">
        <v>4388</v>
      </c>
      <c r="E102" s="113" t="s">
        <v>4389</v>
      </c>
      <c r="F102" s="23"/>
      <c r="G102" s="23"/>
      <c r="H102" s="23"/>
      <c r="I102" s="23"/>
      <c r="J102" s="23"/>
      <c r="K102" s="23"/>
      <c r="L102" s="23"/>
      <c r="M102" s="23"/>
      <c r="N102" s="23"/>
      <c r="O102" s="23"/>
      <c r="P102" s="23"/>
      <c r="Q102" s="23"/>
      <c r="R102" s="23"/>
      <c r="S102" s="23"/>
      <c r="T102" s="23"/>
      <c r="U102" s="161"/>
      <c r="V102" s="161"/>
      <c r="W102" s="161"/>
      <c r="X102" s="161"/>
      <c r="Y102" s="161"/>
    </row>
    <row r="103" spans="1:25" ht="201.6">
      <c r="A103" s="113">
        <f t="shared" si="0"/>
        <v>102</v>
      </c>
      <c r="B103" s="2" t="s">
        <v>4390</v>
      </c>
      <c r="C103" s="420">
        <v>40800</v>
      </c>
      <c r="D103" s="113" t="s">
        <v>4391</v>
      </c>
      <c r="E103" s="113" t="s">
        <v>4392</v>
      </c>
      <c r="F103" s="23"/>
      <c r="G103" s="23"/>
      <c r="H103" s="23"/>
      <c r="I103" s="23"/>
      <c r="J103" s="23"/>
      <c r="K103" s="23"/>
      <c r="L103" s="23"/>
      <c r="M103" s="23"/>
      <c r="N103" s="23"/>
      <c r="O103" s="23"/>
      <c r="P103" s="23"/>
      <c r="Q103" s="23"/>
      <c r="R103" s="23"/>
      <c r="S103" s="23"/>
      <c r="T103" s="23"/>
      <c r="U103" s="161"/>
      <c r="V103" s="161"/>
      <c r="W103" s="161"/>
      <c r="X103" s="161"/>
      <c r="Y103" s="161"/>
    </row>
    <row r="104" spans="1:25" ht="100.8">
      <c r="A104" s="113">
        <f t="shared" si="0"/>
        <v>103</v>
      </c>
      <c r="B104" s="2" t="s">
        <v>4393</v>
      </c>
      <c r="C104" s="420">
        <v>40819</v>
      </c>
      <c r="D104" s="113" t="s">
        <v>4394</v>
      </c>
      <c r="E104" s="113" t="s">
        <v>4395</v>
      </c>
      <c r="F104" s="23"/>
      <c r="G104" s="23"/>
      <c r="H104" s="23"/>
      <c r="I104" s="23"/>
      <c r="J104" s="23"/>
      <c r="K104" s="23"/>
      <c r="L104" s="23"/>
      <c r="M104" s="23"/>
      <c r="N104" s="23"/>
      <c r="O104" s="23"/>
      <c r="P104" s="161"/>
      <c r="Q104" s="23"/>
      <c r="R104" s="23"/>
      <c r="S104" s="23"/>
      <c r="T104" s="23"/>
      <c r="U104" s="161"/>
      <c r="V104" s="161"/>
      <c r="W104" s="161"/>
      <c r="X104" s="161"/>
      <c r="Y104" s="161"/>
    </row>
    <row r="105" spans="1:25" ht="100.8">
      <c r="A105" s="113">
        <f t="shared" si="0"/>
        <v>104</v>
      </c>
      <c r="B105" s="2" t="s">
        <v>4396</v>
      </c>
      <c r="C105" s="420">
        <v>40821</v>
      </c>
      <c r="D105" s="113" t="s">
        <v>4397</v>
      </c>
      <c r="E105" s="113" t="s">
        <v>4398</v>
      </c>
      <c r="F105" s="23"/>
      <c r="G105" s="23"/>
      <c r="H105" s="23"/>
      <c r="I105" s="23"/>
      <c r="J105" s="23"/>
      <c r="K105" s="23"/>
      <c r="L105" s="23"/>
      <c r="M105" s="23"/>
      <c r="N105" s="23"/>
      <c r="O105" s="23"/>
      <c r="P105" s="23"/>
      <c r="Q105" s="23"/>
      <c r="R105" s="23"/>
      <c r="S105" s="23"/>
      <c r="T105" s="23"/>
      <c r="U105" s="161"/>
      <c r="V105" s="161"/>
      <c r="W105" s="161"/>
      <c r="X105" s="161"/>
      <c r="Y105" s="161"/>
    </row>
    <row r="106" spans="1:25" ht="115.2">
      <c r="A106" s="113">
        <f t="shared" si="0"/>
        <v>105</v>
      </c>
      <c r="B106" s="2" t="s">
        <v>4399</v>
      </c>
      <c r="C106" s="420">
        <v>40828</v>
      </c>
      <c r="D106" s="113" t="s">
        <v>4400</v>
      </c>
      <c r="E106" s="113" t="s">
        <v>4401</v>
      </c>
      <c r="F106" s="23"/>
      <c r="G106" s="23"/>
      <c r="H106" s="23"/>
      <c r="I106" s="23"/>
      <c r="J106" s="23"/>
      <c r="K106" s="23"/>
      <c r="L106" s="23"/>
      <c r="M106" s="23"/>
      <c r="N106" s="23"/>
      <c r="O106" s="23"/>
      <c r="P106" s="23"/>
      <c r="Q106" s="23"/>
      <c r="R106" s="23"/>
      <c r="S106" s="23"/>
      <c r="T106" s="23"/>
      <c r="U106" s="161"/>
      <c r="V106" s="161"/>
      <c r="W106" s="161"/>
      <c r="X106" s="161"/>
      <c r="Y106" s="161"/>
    </row>
    <row r="107" spans="1:25" ht="144">
      <c r="A107" s="113">
        <f t="shared" si="0"/>
        <v>106</v>
      </c>
      <c r="B107" s="2" t="s">
        <v>4402</v>
      </c>
      <c r="C107" s="420">
        <v>40854</v>
      </c>
      <c r="D107" s="113" t="s">
        <v>4403</v>
      </c>
      <c r="E107" s="113" t="s">
        <v>7</v>
      </c>
      <c r="F107" s="23"/>
      <c r="G107" s="23"/>
      <c r="H107" s="23"/>
      <c r="I107" s="23"/>
      <c r="J107" s="23"/>
      <c r="K107" s="23"/>
      <c r="L107" s="23"/>
      <c r="M107" s="23"/>
      <c r="N107" s="23"/>
      <c r="O107" s="23"/>
      <c r="P107" s="23"/>
      <c r="Q107" s="23"/>
      <c r="R107" s="23"/>
      <c r="S107" s="23"/>
      <c r="T107" s="23"/>
      <c r="U107" s="161"/>
      <c r="V107" s="161"/>
      <c r="W107" s="161"/>
      <c r="X107" s="161"/>
      <c r="Y107" s="161"/>
    </row>
    <row r="108" spans="1:25" ht="129.6">
      <c r="A108" s="113">
        <f t="shared" si="0"/>
        <v>107</v>
      </c>
      <c r="B108" s="2" t="s">
        <v>4404</v>
      </c>
      <c r="C108" s="420">
        <v>40857</v>
      </c>
      <c r="D108" s="113" t="s">
        <v>4405</v>
      </c>
      <c r="E108" s="113" t="s">
        <v>2934</v>
      </c>
      <c r="F108" s="23"/>
      <c r="G108" s="23"/>
      <c r="H108" s="23"/>
      <c r="I108" s="23"/>
      <c r="J108" s="23"/>
      <c r="K108" s="23"/>
      <c r="L108" s="23"/>
      <c r="M108" s="23"/>
      <c r="N108" s="23"/>
      <c r="O108" s="23"/>
      <c r="P108" s="23"/>
      <c r="Q108" s="23"/>
      <c r="R108" s="23"/>
      <c r="S108" s="23"/>
      <c r="T108" s="23"/>
      <c r="U108" s="161"/>
      <c r="V108" s="161"/>
      <c r="W108" s="161"/>
      <c r="X108" s="161"/>
      <c r="Y108" s="161"/>
    </row>
    <row r="109" spans="1:25" ht="144">
      <c r="A109" s="113">
        <f t="shared" si="0"/>
        <v>108</v>
      </c>
      <c r="B109" s="2" t="s">
        <v>4406</v>
      </c>
      <c r="C109" s="420">
        <v>40861</v>
      </c>
      <c r="D109" s="113" t="s">
        <v>4407</v>
      </c>
      <c r="E109" s="113" t="s">
        <v>4408</v>
      </c>
      <c r="F109" s="23"/>
      <c r="G109" s="23"/>
      <c r="H109" s="23"/>
      <c r="I109" s="23"/>
      <c r="J109" s="23"/>
      <c r="K109" s="23"/>
      <c r="L109" s="23"/>
      <c r="M109" s="23"/>
      <c r="N109" s="23"/>
      <c r="O109" s="23"/>
      <c r="P109" s="23"/>
      <c r="Q109" s="23"/>
      <c r="R109" s="23"/>
      <c r="S109" s="23"/>
      <c r="T109" s="23"/>
      <c r="U109" s="161"/>
      <c r="V109" s="161"/>
      <c r="W109" s="161"/>
      <c r="X109" s="161"/>
      <c r="Y109" s="161"/>
    </row>
    <row r="110" spans="1:25" ht="144">
      <c r="A110" s="113">
        <f t="shared" si="0"/>
        <v>109</v>
      </c>
      <c r="B110" s="2" t="s">
        <v>4409</v>
      </c>
      <c r="C110" s="420">
        <v>40862</v>
      </c>
      <c r="D110" s="113" t="s">
        <v>4410</v>
      </c>
      <c r="E110" s="113" t="s">
        <v>4408</v>
      </c>
      <c r="F110" s="23"/>
      <c r="G110" s="23"/>
      <c r="H110" s="23"/>
      <c r="I110" s="23"/>
      <c r="J110" s="23"/>
      <c r="K110" s="23"/>
      <c r="L110" s="23"/>
      <c r="M110" s="23"/>
      <c r="N110" s="23"/>
      <c r="O110" s="23"/>
      <c r="P110" s="23"/>
      <c r="Q110" s="23"/>
      <c r="R110" s="23"/>
      <c r="S110" s="23"/>
      <c r="T110" s="23"/>
      <c r="U110" s="161"/>
      <c r="V110" s="161"/>
      <c r="W110" s="161"/>
      <c r="X110" s="161"/>
      <c r="Y110" s="161"/>
    </row>
    <row r="111" spans="1:25" ht="100.8">
      <c r="A111" s="113">
        <f t="shared" si="0"/>
        <v>110</v>
      </c>
      <c r="B111" s="2" t="s">
        <v>4411</v>
      </c>
      <c r="C111" s="420">
        <v>40864</v>
      </c>
      <c r="D111" s="113" t="s">
        <v>4412</v>
      </c>
      <c r="E111" s="113" t="s">
        <v>4413</v>
      </c>
      <c r="F111" s="23"/>
      <c r="G111" s="23"/>
      <c r="H111" s="23"/>
      <c r="I111" s="23"/>
      <c r="J111" s="23"/>
      <c r="K111" s="23"/>
      <c r="L111" s="23"/>
      <c r="M111" s="23"/>
      <c r="N111" s="23"/>
      <c r="O111" s="23"/>
      <c r="P111" s="23"/>
      <c r="Q111" s="23"/>
      <c r="R111" s="23"/>
      <c r="S111" s="23"/>
      <c r="T111" s="23"/>
      <c r="U111" s="161"/>
      <c r="V111" s="161"/>
      <c r="W111" s="161"/>
      <c r="X111" s="161"/>
      <c r="Y111" s="161"/>
    </row>
    <row r="112" spans="1:25" ht="115.2">
      <c r="A112" s="113">
        <f t="shared" si="0"/>
        <v>111</v>
      </c>
      <c r="B112" s="2" t="s">
        <v>4414</v>
      </c>
      <c r="C112" s="420">
        <v>40868</v>
      </c>
      <c r="D112" s="113" t="s">
        <v>4415</v>
      </c>
      <c r="E112" s="113" t="s">
        <v>4413</v>
      </c>
      <c r="F112" s="23"/>
      <c r="G112" s="23"/>
      <c r="H112" s="23"/>
      <c r="I112" s="23"/>
      <c r="J112" s="23"/>
      <c r="K112" s="23"/>
      <c r="L112" s="23"/>
      <c r="M112" s="23"/>
      <c r="N112" s="23"/>
      <c r="O112" s="23"/>
      <c r="P112" s="23"/>
      <c r="Q112" s="23"/>
      <c r="R112" s="23"/>
      <c r="S112" s="23"/>
      <c r="T112" s="23"/>
      <c r="U112" s="161"/>
      <c r="V112" s="161"/>
      <c r="W112" s="161"/>
      <c r="X112" s="161"/>
      <c r="Y112" s="161"/>
    </row>
    <row r="113" spans="1:25" ht="115.2">
      <c r="A113" s="113">
        <f t="shared" si="0"/>
        <v>112</v>
      </c>
      <c r="B113" s="2" t="s">
        <v>4416</v>
      </c>
      <c r="C113" s="420">
        <v>40870</v>
      </c>
      <c r="D113" s="113" t="s">
        <v>4417</v>
      </c>
      <c r="E113" s="113" t="s">
        <v>1521</v>
      </c>
      <c r="F113" s="23"/>
      <c r="G113" s="23"/>
      <c r="H113" s="23"/>
      <c r="I113" s="23"/>
      <c r="J113" s="23"/>
      <c r="K113" s="23"/>
      <c r="L113" s="23"/>
      <c r="M113" s="23"/>
      <c r="N113" s="23"/>
      <c r="O113" s="23"/>
      <c r="P113" s="23"/>
      <c r="Q113" s="23"/>
      <c r="R113" s="23"/>
      <c r="S113" s="23"/>
      <c r="T113" s="23"/>
      <c r="U113" s="161"/>
      <c r="V113" s="161"/>
      <c r="W113" s="161"/>
      <c r="X113" s="161"/>
      <c r="Y113" s="161"/>
    </row>
    <row r="114" spans="1:25" ht="158.4">
      <c r="A114" s="113">
        <f t="shared" si="0"/>
        <v>113</v>
      </c>
      <c r="B114" s="8" t="s">
        <v>4418</v>
      </c>
      <c r="C114" s="420">
        <v>40875</v>
      </c>
      <c r="D114" s="113" t="s">
        <v>4419</v>
      </c>
      <c r="E114" s="113" t="s">
        <v>4420</v>
      </c>
      <c r="F114" s="23"/>
      <c r="G114" s="23"/>
      <c r="H114" s="23"/>
      <c r="I114" s="23"/>
      <c r="J114" s="23"/>
      <c r="K114" s="23"/>
      <c r="L114" s="23"/>
      <c r="M114" s="23"/>
      <c r="N114" s="23"/>
      <c r="O114" s="23"/>
      <c r="P114" s="23"/>
      <c r="Q114" s="23"/>
      <c r="R114" s="23"/>
      <c r="S114" s="23"/>
      <c r="T114" s="23"/>
      <c r="U114" s="161"/>
      <c r="V114" s="161"/>
      <c r="W114" s="161"/>
      <c r="X114" s="161"/>
      <c r="Y114" s="161"/>
    </row>
    <row r="115" spans="1:25" ht="129.6">
      <c r="A115" s="113">
        <f t="shared" si="0"/>
        <v>114</v>
      </c>
      <c r="B115" s="2" t="s">
        <v>4421</v>
      </c>
      <c r="C115" s="420">
        <v>40879</v>
      </c>
      <c r="D115" s="113" t="s">
        <v>4422</v>
      </c>
      <c r="E115" s="113" t="s">
        <v>400</v>
      </c>
      <c r="F115" s="161"/>
      <c r="G115" s="161"/>
      <c r="H115" s="161"/>
      <c r="I115" s="161"/>
      <c r="J115" s="161"/>
      <c r="K115" s="161"/>
      <c r="L115" s="161"/>
      <c r="M115" s="161"/>
      <c r="N115" s="161"/>
      <c r="O115" s="161"/>
      <c r="P115" s="161"/>
      <c r="Q115" s="161"/>
      <c r="R115" s="161"/>
      <c r="S115" s="161"/>
      <c r="T115" s="161"/>
      <c r="U115" s="161"/>
      <c r="V115" s="161"/>
      <c r="W115" s="161"/>
      <c r="X115" s="161"/>
      <c r="Y115" s="161"/>
    </row>
    <row r="116" spans="1:25" ht="115.2">
      <c r="A116" s="113">
        <f t="shared" si="0"/>
        <v>115</v>
      </c>
      <c r="B116" s="2" t="s">
        <v>4423</v>
      </c>
      <c r="C116" s="420">
        <v>40883</v>
      </c>
      <c r="D116" s="113" t="s">
        <v>4424</v>
      </c>
      <c r="E116" s="113" t="s">
        <v>4425</v>
      </c>
      <c r="F116" s="161"/>
      <c r="G116" s="161"/>
      <c r="H116" s="161"/>
      <c r="I116" s="161"/>
      <c r="J116" s="161"/>
      <c r="K116" s="161"/>
      <c r="L116" s="161"/>
      <c r="M116" s="161"/>
      <c r="N116" s="161"/>
      <c r="O116" s="161"/>
      <c r="P116" s="161"/>
      <c r="Q116" s="161"/>
      <c r="R116" s="161"/>
      <c r="S116" s="161"/>
      <c r="T116" s="161"/>
      <c r="U116" s="161"/>
      <c r="V116" s="161"/>
      <c r="W116" s="161"/>
      <c r="X116" s="161"/>
      <c r="Y116" s="161"/>
    </row>
    <row r="117" spans="1:25" ht="201.6">
      <c r="A117" s="113">
        <f t="shared" si="0"/>
        <v>116</v>
      </c>
      <c r="B117" s="2" t="s">
        <v>4426</v>
      </c>
      <c r="C117" s="420">
        <v>40913</v>
      </c>
      <c r="D117" s="113" t="s">
        <v>4427</v>
      </c>
      <c r="E117" s="113" t="s">
        <v>4428</v>
      </c>
      <c r="F117" s="161"/>
      <c r="G117" s="161"/>
      <c r="H117" s="161"/>
      <c r="I117" s="161"/>
      <c r="J117" s="161"/>
      <c r="K117" s="161"/>
      <c r="L117" s="161"/>
      <c r="M117" s="161"/>
      <c r="N117" s="161"/>
      <c r="O117" s="161"/>
      <c r="P117" s="161"/>
      <c r="Q117" s="161"/>
      <c r="R117" s="161"/>
      <c r="S117" s="161"/>
      <c r="T117" s="161"/>
      <c r="U117" s="161"/>
      <c r="V117" s="161"/>
      <c r="W117" s="161"/>
      <c r="X117" s="161"/>
      <c r="Y117" s="161"/>
    </row>
    <row r="118" spans="1:25" ht="158.4">
      <c r="A118" s="113">
        <f t="shared" si="0"/>
        <v>117</v>
      </c>
      <c r="B118" s="2" t="s">
        <v>4429</v>
      </c>
      <c r="C118" s="420">
        <v>40982</v>
      </c>
      <c r="D118" s="113" t="s">
        <v>4430</v>
      </c>
      <c r="E118" s="113" t="s">
        <v>4431</v>
      </c>
      <c r="F118" s="161"/>
      <c r="G118" s="161"/>
      <c r="H118" s="161"/>
      <c r="I118" s="161"/>
      <c r="J118" s="161"/>
      <c r="K118" s="161"/>
      <c r="L118" s="161"/>
      <c r="M118" s="161"/>
      <c r="N118" s="161"/>
      <c r="O118" s="161"/>
      <c r="P118" s="161"/>
      <c r="Q118" s="161"/>
      <c r="R118" s="161"/>
      <c r="S118" s="161"/>
      <c r="T118" s="161"/>
      <c r="U118" s="161"/>
      <c r="V118" s="161"/>
      <c r="W118" s="161"/>
      <c r="X118" s="161"/>
      <c r="Y118" s="161"/>
    </row>
    <row r="119" spans="1:25" ht="158.4">
      <c r="A119" s="113">
        <f t="shared" si="0"/>
        <v>118</v>
      </c>
      <c r="B119" s="2" t="s">
        <v>4432</v>
      </c>
      <c r="C119" s="420">
        <v>40984</v>
      </c>
      <c r="D119" s="113" t="s">
        <v>4430</v>
      </c>
      <c r="E119" s="113" t="s">
        <v>4431</v>
      </c>
      <c r="F119" s="161"/>
      <c r="G119" s="161"/>
      <c r="H119" s="161"/>
      <c r="I119" s="161"/>
      <c r="J119" s="161"/>
      <c r="K119" s="161"/>
      <c r="L119" s="161"/>
      <c r="M119" s="161"/>
      <c r="N119" s="161"/>
      <c r="O119" s="161"/>
      <c r="P119" s="161"/>
      <c r="Q119" s="161"/>
      <c r="R119" s="161"/>
      <c r="S119" s="161"/>
      <c r="T119" s="161"/>
      <c r="U119" s="161"/>
      <c r="V119" s="161"/>
      <c r="W119" s="161"/>
      <c r="X119" s="161"/>
      <c r="Y119" s="161"/>
    </row>
    <row r="120" spans="1:25" ht="100.8">
      <c r="A120" s="113">
        <f t="shared" si="0"/>
        <v>119</v>
      </c>
      <c r="B120" s="2" t="s">
        <v>4433</v>
      </c>
      <c r="C120" s="420">
        <v>40989</v>
      </c>
      <c r="D120" s="113" t="s">
        <v>4434</v>
      </c>
      <c r="E120" s="113" t="s">
        <v>4435</v>
      </c>
      <c r="F120" s="161"/>
      <c r="G120" s="161"/>
      <c r="H120" s="161"/>
      <c r="I120" s="161"/>
      <c r="J120" s="161"/>
      <c r="K120" s="161"/>
      <c r="L120" s="161"/>
      <c r="M120" s="161"/>
      <c r="N120" s="161"/>
      <c r="O120" s="161"/>
      <c r="P120" s="161"/>
      <c r="Q120" s="161"/>
      <c r="R120" s="161"/>
      <c r="S120" s="161"/>
      <c r="T120" s="161"/>
      <c r="U120" s="161"/>
      <c r="V120" s="161"/>
      <c r="W120" s="161"/>
      <c r="X120" s="161"/>
      <c r="Y120" s="161"/>
    </row>
    <row r="121" spans="1:25" ht="86.4">
      <c r="A121" s="113">
        <f t="shared" si="0"/>
        <v>120</v>
      </c>
      <c r="B121" s="2" t="s">
        <v>4436</v>
      </c>
      <c r="C121" s="420">
        <v>41010</v>
      </c>
      <c r="D121" s="113" t="s">
        <v>4437</v>
      </c>
      <c r="E121" s="113" t="s">
        <v>4438</v>
      </c>
      <c r="F121" s="161"/>
      <c r="G121" s="161"/>
      <c r="H121" s="161"/>
      <c r="I121" s="161"/>
      <c r="J121" s="161"/>
      <c r="K121" s="161"/>
      <c r="L121" s="161"/>
      <c r="M121" s="161"/>
      <c r="N121" s="161"/>
      <c r="O121" s="161"/>
      <c r="P121" s="161"/>
      <c r="Q121" s="161"/>
      <c r="R121" s="161"/>
      <c r="S121" s="161"/>
      <c r="T121" s="161"/>
      <c r="U121" s="161"/>
      <c r="V121" s="161"/>
      <c r="W121" s="161"/>
      <c r="X121" s="161"/>
      <c r="Y121" s="161"/>
    </row>
    <row r="122" spans="1:25" ht="129.6">
      <c r="A122" s="113">
        <f t="shared" si="0"/>
        <v>121</v>
      </c>
      <c r="B122" s="2" t="s">
        <v>4439</v>
      </c>
      <c r="C122" s="420">
        <v>41080</v>
      </c>
      <c r="D122" s="113" t="s">
        <v>4440</v>
      </c>
      <c r="E122" s="113" t="s">
        <v>4441</v>
      </c>
      <c r="F122" s="161"/>
      <c r="G122" s="161"/>
      <c r="H122" s="161"/>
      <c r="I122" s="161"/>
      <c r="J122" s="161"/>
      <c r="K122" s="161"/>
      <c r="L122" s="161"/>
      <c r="M122" s="161"/>
      <c r="N122" s="161"/>
      <c r="O122" s="161"/>
      <c r="P122" s="161"/>
      <c r="Q122" s="161"/>
      <c r="R122" s="161"/>
      <c r="S122" s="161"/>
      <c r="T122" s="161"/>
      <c r="U122" s="161"/>
      <c r="V122" s="161"/>
      <c r="W122" s="161"/>
      <c r="X122" s="161"/>
      <c r="Y122" s="161"/>
    </row>
    <row r="123" spans="1:25" ht="115.2">
      <c r="A123" s="113">
        <f t="shared" si="0"/>
        <v>122</v>
      </c>
      <c r="B123" s="2" t="s">
        <v>4442</v>
      </c>
      <c r="C123" s="420">
        <v>41087</v>
      </c>
      <c r="D123" s="113" t="s">
        <v>4443</v>
      </c>
      <c r="E123" s="113" t="s">
        <v>4441</v>
      </c>
      <c r="F123" s="161"/>
      <c r="G123" s="161"/>
      <c r="H123" s="161"/>
      <c r="I123" s="161"/>
      <c r="J123" s="161"/>
      <c r="K123" s="161"/>
      <c r="L123" s="161"/>
      <c r="M123" s="161"/>
      <c r="N123" s="161"/>
      <c r="O123" s="161"/>
      <c r="P123" s="161"/>
      <c r="Q123" s="161"/>
      <c r="R123" s="161"/>
      <c r="S123" s="161"/>
      <c r="T123" s="161"/>
      <c r="U123" s="161"/>
      <c r="V123" s="161"/>
      <c r="W123" s="161"/>
      <c r="X123" s="161"/>
      <c r="Y123" s="161"/>
    </row>
    <row r="124" spans="1:25" ht="100.8">
      <c r="A124" s="113">
        <f t="shared" si="0"/>
        <v>123</v>
      </c>
      <c r="B124" s="2" t="s">
        <v>4444</v>
      </c>
      <c r="C124" s="420">
        <v>41089</v>
      </c>
      <c r="D124" s="113" t="s">
        <v>4445</v>
      </c>
      <c r="E124" s="113" t="s">
        <v>4446</v>
      </c>
      <c r="F124" s="161"/>
      <c r="G124" s="161"/>
      <c r="H124" s="161"/>
      <c r="I124" s="161"/>
      <c r="J124" s="161"/>
      <c r="K124" s="161"/>
      <c r="L124" s="161"/>
      <c r="M124" s="161"/>
      <c r="N124" s="161"/>
      <c r="O124" s="161"/>
      <c r="P124" s="161"/>
      <c r="Q124" s="161"/>
      <c r="R124" s="161"/>
      <c r="S124" s="161"/>
      <c r="T124" s="161"/>
      <c r="U124" s="161"/>
      <c r="V124" s="161"/>
      <c r="W124" s="161"/>
      <c r="X124" s="161"/>
      <c r="Y124" s="161"/>
    </row>
    <row r="125" spans="1:25" ht="115.2">
      <c r="A125" s="113">
        <f t="shared" si="0"/>
        <v>124</v>
      </c>
      <c r="B125" s="2" t="s">
        <v>4447</v>
      </c>
      <c r="C125" s="420">
        <v>41095</v>
      </c>
      <c r="D125" s="113" t="s">
        <v>4448</v>
      </c>
      <c r="E125" s="113" t="s">
        <v>4449</v>
      </c>
      <c r="F125" s="161"/>
      <c r="G125" s="161"/>
      <c r="H125" s="161"/>
      <c r="I125" s="161"/>
      <c r="J125" s="161"/>
      <c r="K125" s="161"/>
      <c r="L125" s="161"/>
      <c r="M125" s="161"/>
      <c r="N125" s="161"/>
      <c r="O125" s="161"/>
      <c r="P125" s="161"/>
      <c r="Q125" s="161"/>
      <c r="R125" s="161"/>
      <c r="S125" s="161"/>
      <c r="T125" s="161"/>
      <c r="U125" s="161"/>
      <c r="V125" s="161"/>
      <c r="W125" s="161"/>
      <c r="X125" s="161"/>
      <c r="Y125" s="161"/>
    </row>
    <row r="126" spans="1:25" ht="72">
      <c r="A126" s="113">
        <f t="shared" si="0"/>
        <v>125</v>
      </c>
      <c r="B126" s="2" t="s">
        <v>4450</v>
      </c>
      <c r="C126" s="420">
        <v>41100</v>
      </c>
      <c r="D126" s="113" t="s">
        <v>4451</v>
      </c>
      <c r="E126" s="113" t="s">
        <v>4452</v>
      </c>
      <c r="F126" s="161"/>
      <c r="G126" s="161"/>
      <c r="H126" s="161"/>
      <c r="I126" s="161"/>
      <c r="J126" s="161"/>
      <c r="K126" s="161"/>
      <c r="L126" s="161"/>
      <c r="M126" s="161"/>
      <c r="N126" s="161"/>
      <c r="O126" s="161"/>
      <c r="P126" s="161"/>
      <c r="Q126" s="161"/>
      <c r="R126" s="161"/>
      <c r="S126" s="161"/>
      <c r="T126" s="161"/>
      <c r="U126" s="161"/>
      <c r="V126" s="161"/>
      <c r="W126" s="161"/>
      <c r="X126" s="161"/>
      <c r="Y126" s="161"/>
    </row>
    <row r="127" spans="1:25" ht="72">
      <c r="A127" s="113">
        <f t="shared" si="0"/>
        <v>126</v>
      </c>
      <c r="B127" s="2" t="s">
        <v>4453</v>
      </c>
      <c r="C127" s="420">
        <v>41102</v>
      </c>
      <c r="D127" s="113" t="s">
        <v>4454</v>
      </c>
      <c r="E127" s="113" t="s">
        <v>4455</v>
      </c>
      <c r="F127" s="161"/>
      <c r="G127" s="161"/>
      <c r="H127" s="161"/>
      <c r="I127" s="161"/>
      <c r="J127" s="161"/>
      <c r="K127" s="161"/>
      <c r="L127" s="161"/>
      <c r="M127" s="161"/>
      <c r="N127" s="161"/>
      <c r="O127" s="161"/>
      <c r="P127" s="161"/>
      <c r="Q127" s="161"/>
      <c r="R127" s="161"/>
      <c r="S127" s="161"/>
      <c r="T127" s="161"/>
      <c r="U127" s="161"/>
      <c r="V127" s="161"/>
      <c r="W127" s="161"/>
      <c r="X127" s="161"/>
      <c r="Y127" s="161"/>
    </row>
    <row r="128" spans="1:25" ht="72">
      <c r="A128" s="113">
        <f t="shared" si="0"/>
        <v>127</v>
      </c>
      <c r="B128" s="2" t="s">
        <v>4456</v>
      </c>
      <c r="C128" s="420">
        <v>41109</v>
      </c>
      <c r="D128" s="113" t="s">
        <v>4457</v>
      </c>
      <c r="E128" s="113" t="s">
        <v>4458</v>
      </c>
      <c r="F128" s="161"/>
      <c r="G128" s="161"/>
      <c r="H128" s="161"/>
      <c r="I128" s="161"/>
      <c r="J128" s="161"/>
      <c r="K128" s="161"/>
      <c r="L128" s="161"/>
      <c r="M128" s="161"/>
      <c r="N128" s="161"/>
      <c r="O128" s="161"/>
      <c r="P128" s="161"/>
      <c r="Q128" s="161"/>
      <c r="R128" s="161"/>
      <c r="S128" s="161"/>
      <c r="T128" s="161"/>
      <c r="U128" s="161"/>
      <c r="V128" s="161"/>
      <c r="W128" s="161"/>
      <c r="X128" s="161"/>
      <c r="Y128" s="161"/>
    </row>
    <row r="129" spans="1:25" ht="100.8">
      <c r="A129" s="113">
        <f t="shared" si="0"/>
        <v>128</v>
      </c>
      <c r="B129" s="2" t="s">
        <v>4459</v>
      </c>
      <c r="C129" s="420">
        <v>41110</v>
      </c>
      <c r="D129" s="113" t="s">
        <v>4460</v>
      </c>
      <c r="E129" s="113" t="s">
        <v>4461</v>
      </c>
      <c r="F129" s="161"/>
      <c r="G129" s="161"/>
      <c r="H129" s="161"/>
      <c r="I129" s="161"/>
      <c r="J129" s="161"/>
      <c r="K129" s="161"/>
      <c r="L129" s="161"/>
      <c r="M129" s="161"/>
      <c r="N129" s="161"/>
      <c r="O129" s="161"/>
      <c r="P129" s="161"/>
      <c r="Q129" s="161"/>
      <c r="R129" s="161"/>
      <c r="S129" s="161"/>
      <c r="T129" s="161"/>
      <c r="U129" s="161"/>
      <c r="V129" s="161"/>
      <c r="W129" s="161"/>
      <c r="X129" s="161"/>
      <c r="Y129" s="161"/>
    </row>
    <row r="130" spans="1:25" ht="100.8">
      <c r="A130" s="113">
        <f t="shared" si="0"/>
        <v>129</v>
      </c>
      <c r="B130" s="2" t="s">
        <v>4462</v>
      </c>
      <c r="C130" s="420">
        <v>41142</v>
      </c>
      <c r="D130" s="113" t="s">
        <v>4463</v>
      </c>
      <c r="E130" s="113" t="s">
        <v>1519</v>
      </c>
      <c r="F130" s="161"/>
      <c r="G130" s="161"/>
      <c r="H130" s="161"/>
      <c r="I130" s="161"/>
      <c r="J130" s="161"/>
      <c r="K130" s="161"/>
      <c r="L130" s="161"/>
      <c r="M130" s="161"/>
      <c r="N130" s="161"/>
      <c r="O130" s="161"/>
      <c r="P130" s="161"/>
      <c r="Q130" s="161"/>
      <c r="R130" s="161"/>
      <c r="S130" s="161"/>
      <c r="T130" s="161"/>
      <c r="U130" s="161"/>
      <c r="V130" s="161"/>
      <c r="W130" s="161"/>
      <c r="X130" s="161"/>
      <c r="Y130" s="161"/>
    </row>
    <row r="131" spans="1:25" ht="72">
      <c r="A131" s="113">
        <f t="shared" si="0"/>
        <v>130</v>
      </c>
      <c r="B131" s="2" t="s">
        <v>4464</v>
      </c>
      <c r="C131" s="420">
        <v>41143</v>
      </c>
      <c r="D131" s="113" t="s">
        <v>4465</v>
      </c>
      <c r="E131" s="113" t="s">
        <v>4466</v>
      </c>
      <c r="F131" s="161"/>
      <c r="G131" s="161"/>
      <c r="H131" s="161"/>
      <c r="I131" s="161"/>
      <c r="J131" s="161"/>
      <c r="K131" s="161"/>
      <c r="L131" s="161"/>
      <c r="M131" s="161"/>
      <c r="N131" s="161"/>
      <c r="O131" s="161"/>
      <c r="P131" s="161"/>
      <c r="Q131" s="161"/>
      <c r="R131" s="161"/>
      <c r="S131" s="161"/>
      <c r="T131" s="161"/>
      <c r="U131" s="161"/>
      <c r="V131" s="161"/>
      <c r="W131" s="161"/>
      <c r="X131" s="161"/>
      <c r="Y131" s="161"/>
    </row>
    <row r="132" spans="1:25" ht="129.6">
      <c r="A132" s="113">
        <f t="shared" si="0"/>
        <v>131</v>
      </c>
      <c r="B132" s="2" t="s">
        <v>4467</v>
      </c>
      <c r="C132" s="420">
        <v>41144</v>
      </c>
      <c r="D132" s="113" t="s">
        <v>4468</v>
      </c>
      <c r="E132" s="113" t="s">
        <v>4469</v>
      </c>
      <c r="F132" s="161"/>
      <c r="G132" s="161"/>
      <c r="H132" s="161"/>
      <c r="I132" s="161"/>
      <c r="J132" s="161"/>
      <c r="K132" s="161"/>
      <c r="L132" s="161"/>
      <c r="M132" s="161"/>
      <c r="N132" s="161"/>
      <c r="O132" s="161"/>
      <c r="P132" s="161"/>
      <c r="Q132" s="161"/>
      <c r="R132" s="161"/>
      <c r="S132" s="161"/>
      <c r="T132" s="161"/>
      <c r="U132" s="161"/>
      <c r="V132" s="161"/>
      <c r="W132" s="161"/>
      <c r="X132" s="161"/>
      <c r="Y132" s="161"/>
    </row>
    <row r="133" spans="1:25" ht="115.2">
      <c r="A133" s="113">
        <v>132</v>
      </c>
      <c r="B133" s="2" t="s">
        <v>4470</v>
      </c>
      <c r="C133" s="420">
        <v>41170</v>
      </c>
      <c r="D133" s="113" t="s">
        <v>4471</v>
      </c>
      <c r="E133" s="113" t="s">
        <v>4472</v>
      </c>
      <c r="F133" s="161"/>
      <c r="G133" s="161"/>
      <c r="H133" s="161"/>
      <c r="I133" s="161"/>
      <c r="J133" s="161"/>
      <c r="K133" s="161"/>
      <c r="L133" s="161"/>
      <c r="M133" s="161"/>
      <c r="N133" s="161"/>
      <c r="O133" s="161"/>
      <c r="P133" s="161"/>
      <c r="Q133" s="161"/>
      <c r="R133" s="161"/>
      <c r="S133" s="161"/>
      <c r="T133" s="161"/>
      <c r="U133" s="161"/>
      <c r="V133" s="161"/>
      <c r="W133" s="161"/>
      <c r="X133" s="161"/>
      <c r="Y133" s="161"/>
    </row>
    <row r="134" spans="1:25" ht="216">
      <c r="A134" s="113">
        <v>133</v>
      </c>
      <c r="B134" s="2" t="s">
        <v>4473</v>
      </c>
      <c r="C134" s="420">
        <v>41171</v>
      </c>
      <c r="D134" s="113" t="s">
        <v>4474</v>
      </c>
      <c r="E134" s="113" t="s">
        <v>4475</v>
      </c>
      <c r="F134" s="161"/>
      <c r="G134" s="161"/>
      <c r="H134" s="161"/>
      <c r="I134" s="161"/>
      <c r="J134" s="161"/>
      <c r="K134" s="161"/>
      <c r="L134" s="161"/>
      <c r="M134" s="161"/>
      <c r="N134" s="161"/>
      <c r="O134" s="161"/>
      <c r="P134" s="161"/>
      <c r="Q134" s="161"/>
      <c r="R134" s="161"/>
      <c r="S134" s="161"/>
      <c r="T134" s="161"/>
      <c r="U134" s="161"/>
      <c r="V134" s="161"/>
      <c r="W134" s="161"/>
      <c r="X134" s="161"/>
      <c r="Y134" s="161"/>
    </row>
    <row r="135" spans="1:25" ht="144">
      <c r="A135" s="113">
        <v>134</v>
      </c>
      <c r="B135" s="2" t="s">
        <v>4476</v>
      </c>
      <c r="C135" s="420">
        <v>41172</v>
      </c>
      <c r="D135" s="113" t="s">
        <v>4477</v>
      </c>
      <c r="E135" s="113" t="s">
        <v>4475</v>
      </c>
      <c r="F135" s="161"/>
      <c r="G135" s="161"/>
      <c r="H135" s="161"/>
      <c r="I135" s="161"/>
      <c r="J135" s="161"/>
      <c r="K135" s="161"/>
      <c r="L135" s="161"/>
      <c r="M135" s="161"/>
      <c r="N135" s="161"/>
      <c r="O135" s="161"/>
      <c r="P135" s="161"/>
      <c r="Q135" s="161"/>
      <c r="R135" s="161"/>
      <c r="S135" s="161"/>
      <c r="T135" s="161"/>
      <c r="U135" s="161"/>
      <c r="V135" s="161"/>
      <c r="W135" s="161"/>
      <c r="X135" s="161"/>
      <c r="Y135" s="161"/>
    </row>
    <row r="136" spans="1:25" ht="72">
      <c r="A136" s="113">
        <v>135</v>
      </c>
      <c r="B136" s="8" t="s">
        <v>4478</v>
      </c>
      <c r="C136" s="420">
        <v>41214</v>
      </c>
      <c r="D136" s="113" t="s">
        <v>4479</v>
      </c>
      <c r="E136" s="113" t="s">
        <v>4480</v>
      </c>
      <c r="F136" s="23"/>
      <c r="G136" s="23"/>
      <c r="H136" s="23"/>
      <c r="I136" s="23"/>
      <c r="J136" s="23"/>
      <c r="K136" s="23"/>
      <c r="L136" s="23"/>
      <c r="M136" s="23"/>
      <c r="N136" s="23"/>
      <c r="O136" s="23"/>
      <c r="P136" s="23"/>
      <c r="Q136" s="23"/>
      <c r="R136" s="7"/>
      <c r="S136" s="23"/>
      <c r="T136" s="23"/>
      <c r="U136" s="23"/>
      <c r="V136" s="23"/>
      <c r="W136" s="23"/>
      <c r="X136" s="7"/>
      <c r="Y136" s="7"/>
    </row>
    <row r="137" spans="1:25" ht="144">
      <c r="A137" s="113">
        <v>136</v>
      </c>
      <c r="B137" s="2" t="s">
        <v>4481</v>
      </c>
      <c r="C137" s="420">
        <v>41214</v>
      </c>
      <c r="D137" s="113" t="s">
        <v>4910</v>
      </c>
      <c r="E137" s="113" t="s">
        <v>4482</v>
      </c>
      <c r="F137" s="23"/>
      <c r="G137" s="23"/>
      <c r="H137" s="7"/>
      <c r="I137" s="23"/>
      <c r="J137" s="23"/>
      <c r="K137" s="23"/>
      <c r="L137" s="23"/>
      <c r="M137" s="23"/>
      <c r="N137" s="23"/>
      <c r="O137" s="23"/>
      <c r="P137" s="23"/>
      <c r="Q137" s="23"/>
      <c r="R137" s="7"/>
      <c r="S137" s="7"/>
      <c r="T137" s="7"/>
      <c r="U137" s="23"/>
      <c r="V137" s="23"/>
      <c r="W137" s="23"/>
      <c r="X137" s="7"/>
      <c r="Y137" s="7"/>
    </row>
    <row r="138" spans="1:25" ht="100.8">
      <c r="A138" s="113">
        <v>137</v>
      </c>
      <c r="B138" s="2" t="s">
        <v>4483</v>
      </c>
      <c r="C138" s="420">
        <v>41214</v>
      </c>
      <c r="D138" s="113" t="s">
        <v>4484</v>
      </c>
      <c r="E138" s="113" t="s">
        <v>4485</v>
      </c>
      <c r="F138" s="23"/>
      <c r="G138" s="23"/>
      <c r="H138" s="7"/>
      <c r="I138" s="23"/>
      <c r="J138" s="23"/>
      <c r="K138" s="23"/>
      <c r="L138" s="23"/>
      <c r="M138" s="23"/>
      <c r="N138" s="23"/>
      <c r="O138" s="23"/>
      <c r="P138" s="23"/>
      <c r="Q138" s="23"/>
      <c r="R138" s="7"/>
      <c r="S138" s="7"/>
      <c r="T138" s="7"/>
      <c r="U138" s="23"/>
      <c r="V138" s="23"/>
      <c r="W138" s="23"/>
      <c r="X138" s="7"/>
      <c r="Y138" s="7"/>
    </row>
    <row r="139" spans="1:25" ht="129.6">
      <c r="A139" s="113">
        <v>138</v>
      </c>
      <c r="B139" s="2" t="s">
        <v>4486</v>
      </c>
      <c r="C139" s="420">
        <v>41275</v>
      </c>
      <c r="D139" s="113" t="s">
        <v>4487</v>
      </c>
      <c r="E139" s="113" t="s">
        <v>4488</v>
      </c>
      <c r="F139" s="23"/>
      <c r="G139" s="23"/>
      <c r="H139" s="23"/>
      <c r="I139" s="23"/>
      <c r="J139" s="23"/>
      <c r="K139" s="23"/>
      <c r="L139" s="23"/>
      <c r="M139" s="23"/>
      <c r="N139" s="23"/>
      <c r="O139" s="23"/>
      <c r="P139" s="23"/>
      <c r="Q139" s="23"/>
      <c r="R139" s="7"/>
      <c r="S139" s="7"/>
      <c r="T139" s="7"/>
      <c r="U139" s="23"/>
      <c r="V139" s="23"/>
      <c r="W139" s="23"/>
      <c r="X139" s="7"/>
      <c r="Y139" s="7"/>
    </row>
    <row r="140" spans="1:25" ht="172.8">
      <c r="A140" s="113">
        <v>139</v>
      </c>
      <c r="B140" s="2" t="s">
        <v>4489</v>
      </c>
      <c r="C140" s="420">
        <v>41333</v>
      </c>
      <c r="D140" s="113" t="s">
        <v>4490</v>
      </c>
      <c r="E140" s="113" t="s">
        <v>4491</v>
      </c>
      <c r="F140" s="23"/>
      <c r="G140" s="23"/>
      <c r="H140" s="23"/>
      <c r="I140" s="23"/>
      <c r="J140" s="23"/>
      <c r="K140" s="23"/>
      <c r="L140" s="23"/>
      <c r="M140" s="23"/>
      <c r="N140" s="23"/>
      <c r="O140" s="23"/>
      <c r="P140" s="23"/>
      <c r="Q140" s="23"/>
      <c r="R140" s="23"/>
      <c r="S140" s="7"/>
      <c r="T140" s="7"/>
      <c r="U140" s="23"/>
      <c r="V140" s="23"/>
      <c r="W140" s="23"/>
      <c r="X140" s="23"/>
      <c r="Y140" s="23"/>
    </row>
    <row r="141" spans="1:25" ht="57.6">
      <c r="A141" s="113">
        <v>140</v>
      </c>
      <c r="B141" s="2" t="s">
        <v>4492</v>
      </c>
      <c r="C141" s="420">
        <v>41393</v>
      </c>
      <c r="D141" s="113" t="s">
        <v>4493</v>
      </c>
      <c r="E141" s="113" t="s">
        <v>4494</v>
      </c>
      <c r="F141" s="23"/>
      <c r="G141" s="23"/>
      <c r="H141" s="161"/>
      <c r="I141" s="23"/>
      <c r="J141" s="23"/>
      <c r="K141" s="23"/>
      <c r="L141" s="23"/>
      <c r="M141" s="23"/>
      <c r="N141" s="23"/>
      <c r="O141" s="23"/>
      <c r="P141" s="23"/>
      <c r="Q141" s="23"/>
      <c r="R141" s="23"/>
      <c r="S141" s="23"/>
      <c r="T141" s="161"/>
      <c r="U141" s="23"/>
      <c r="V141" s="23"/>
      <c r="W141" s="23"/>
      <c r="X141" s="23"/>
      <c r="Y141" s="23"/>
    </row>
    <row r="142" spans="1:25" ht="72">
      <c r="A142" s="15">
        <v>141</v>
      </c>
      <c r="B142" s="2" t="s">
        <v>4495</v>
      </c>
      <c r="C142" s="420">
        <v>41424</v>
      </c>
      <c r="D142" s="113" t="s">
        <v>4496</v>
      </c>
      <c r="E142" s="113" t="s">
        <v>4497</v>
      </c>
      <c r="F142" s="161"/>
      <c r="G142" s="4"/>
      <c r="H142" s="161"/>
      <c r="I142" s="161"/>
      <c r="J142" s="161"/>
      <c r="K142" s="161"/>
      <c r="L142" s="4"/>
      <c r="M142" s="4"/>
      <c r="N142" s="4"/>
      <c r="O142" s="4"/>
      <c r="P142" s="4"/>
      <c r="Q142" s="4"/>
      <c r="R142" s="161"/>
      <c r="S142" s="161"/>
      <c r="T142" s="161"/>
      <c r="U142" s="161"/>
      <c r="V142" s="161"/>
      <c r="W142" s="4"/>
      <c r="X142" s="161"/>
      <c r="Y142" s="161"/>
    </row>
    <row r="143" spans="1:25" ht="144">
      <c r="A143" s="15">
        <v>142</v>
      </c>
      <c r="B143" s="2" t="s">
        <v>4498</v>
      </c>
      <c r="C143" s="420">
        <v>41505</v>
      </c>
      <c r="D143" s="113" t="s">
        <v>4499</v>
      </c>
      <c r="E143" s="15" t="s">
        <v>1547</v>
      </c>
      <c r="F143" s="161"/>
      <c r="G143" s="4"/>
      <c r="H143" s="161"/>
      <c r="I143" s="161"/>
      <c r="J143" s="161"/>
      <c r="K143" s="161"/>
      <c r="L143" s="4"/>
      <c r="M143" s="4"/>
      <c r="N143" s="4"/>
      <c r="O143" s="4"/>
      <c r="P143" s="4"/>
      <c r="Q143" s="4"/>
      <c r="R143" s="4"/>
      <c r="S143" s="4"/>
      <c r="T143" s="4"/>
      <c r="U143" s="161"/>
      <c r="V143" s="161"/>
      <c r="W143" s="4"/>
      <c r="X143" s="161"/>
      <c r="Y143" s="161"/>
    </row>
    <row r="144" spans="1:25" ht="86.4">
      <c r="A144" s="113">
        <v>143</v>
      </c>
      <c r="B144" s="2" t="s">
        <v>4500</v>
      </c>
      <c r="C144" s="420">
        <v>41512</v>
      </c>
      <c r="D144" s="113" t="s">
        <v>4501</v>
      </c>
      <c r="E144" s="15" t="s">
        <v>1547</v>
      </c>
      <c r="F144" s="4"/>
      <c r="G144" s="4"/>
      <c r="H144" s="161"/>
      <c r="I144" s="161"/>
      <c r="J144" s="161"/>
      <c r="K144" s="4"/>
      <c r="L144" s="4"/>
      <c r="M144" s="4"/>
      <c r="N144" s="4"/>
      <c r="O144" s="4"/>
      <c r="P144" s="4"/>
      <c r="Q144" s="4"/>
      <c r="R144" s="4"/>
      <c r="S144" s="4"/>
      <c r="T144" s="4"/>
      <c r="U144" s="161"/>
      <c r="V144" s="161"/>
      <c r="W144" s="4"/>
      <c r="X144" s="161"/>
      <c r="Y144" s="161"/>
    </row>
    <row r="145" spans="1:25" ht="100.8">
      <c r="A145" s="15">
        <v>144</v>
      </c>
      <c r="B145" s="2" t="s">
        <v>4502</v>
      </c>
      <c r="C145" s="420">
        <v>41536</v>
      </c>
      <c r="D145" s="113" t="s">
        <v>4503</v>
      </c>
      <c r="E145" s="15" t="s">
        <v>1547</v>
      </c>
      <c r="F145" s="161"/>
      <c r="G145" s="4"/>
      <c r="H145" s="161"/>
      <c r="I145" s="161"/>
      <c r="J145" s="4"/>
      <c r="K145" s="161"/>
      <c r="L145" s="4"/>
      <c r="M145" s="4"/>
      <c r="N145" s="4"/>
      <c r="O145" s="4"/>
      <c r="P145" s="4"/>
      <c r="Q145" s="4"/>
      <c r="R145" s="4"/>
      <c r="S145" s="4"/>
      <c r="T145" s="4"/>
      <c r="U145" s="161"/>
      <c r="V145" s="161"/>
      <c r="W145" s="4"/>
      <c r="X145" s="4"/>
      <c r="Y145" s="161"/>
    </row>
    <row r="146" spans="1:25" ht="158.4">
      <c r="A146" s="15">
        <v>145</v>
      </c>
      <c r="B146" s="2" t="s">
        <v>4504</v>
      </c>
      <c r="C146" s="420">
        <v>41548</v>
      </c>
      <c r="D146" s="113" t="s">
        <v>4505</v>
      </c>
      <c r="E146" s="15" t="s">
        <v>4506</v>
      </c>
      <c r="F146" s="161"/>
      <c r="G146" s="161"/>
      <c r="H146" s="161"/>
      <c r="I146" s="161"/>
      <c r="J146" s="161"/>
      <c r="K146" s="161"/>
      <c r="L146" s="4"/>
      <c r="M146" s="4"/>
      <c r="N146" s="4"/>
      <c r="O146" s="4"/>
      <c r="P146" s="4"/>
      <c r="Q146" s="4"/>
      <c r="R146" s="4"/>
      <c r="S146" s="4"/>
      <c r="T146" s="4"/>
      <c r="U146" s="4"/>
      <c r="V146" s="4"/>
      <c r="W146" s="4"/>
      <c r="X146" s="4"/>
      <c r="Y146" s="4"/>
    </row>
    <row r="147" spans="1:25" ht="86.4">
      <c r="A147" s="113">
        <v>146</v>
      </c>
      <c r="B147" s="2" t="s">
        <v>4507</v>
      </c>
      <c r="C147" s="420">
        <v>41611</v>
      </c>
      <c r="D147" s="113" t="s">
        <v>4508</v>
      </c>
      <c r="E147" s="113" t="s">
        <v>4509</v>
      </c>
      <c r="F147" s="4"/>
      <c r="G147" s="4"/>
      <c r="H147" s="4"/>
      <c r="I147" s="4"/>
      <c r="J147" s="4"/>
      <c r="K147" s="4"/>
      <c r="L147" s="4"/>
      <c r="M147" s="4"/>
      <c r="N147" s="4"/>
      <c r="O147" s="4"/>
      <c r="P147" s="4"/>
      <c r="Q147" s="4"/>
      <c r="R147" s="4"/>
      <c r="S147" s="4"/>
      <c r="T147" s="4"/>
      <c r="U147" s="4"/>
      <c r="V147" s="4"/>
      <c r="W147" s="4"/>
      <c r="X147" s="4"/>
      <c r="Y147" s="4"/>
    </row>
    <row r="148" spans="1:25" ht="129.6">
      <c r="A148" s="15">
        <v>147</v>
      </c>
      <c r="B148" s="2" t="s">
        <v>4510</v>
      </c>
      <c r="C148" s="420">
        <v>41701</v>
      </c>
      <c r="D148" s="113" t="s">
        <v>4511</v>
      </c>
      <c r="E148" s="113" t="s">
        <v>4512</v>
      </c>
      <c r="F148" s="4"/>
      <c r="G148" s="4"/>
      <c r="H148" s="4"/>
      <c r="I148" s="4"/>
      <c r="J148" s="4"/>
      <c r="K148" s="4"/>
      <c r="L148" s="4"/>
      <c r="M148" s="4"/>
      <c r="N148" s="4"/>
      <c r="O148" s="4"/>
      <c r="P148" s="4"/>
      <c r="Q148" s="4"/>
      <c r="R148" s="4"/>
      <c r="S148" s="4"/>
      <c r="T148" s="4"/>
      <c r="U148" s="4"/>
      <c r="V148" s="4"/>
      <c r="W148" s="4"/>
      <c r="X148" s="4"/>
      <c r="Y148" s="4"/>
    </row>
    <row r="149" spans="1:25" ht="115.2">
      <c r="A149" s="15">
        <v>148</v>
      </c>
      <c r="B149" s="2" t="s">
        <v>4513</v>
      </c>
      <c r="C149" s="420">
        <v>41702</v>
      </c>
      <c r="D149" s="113" t="s">
        <v>4514</v>
      </c>
      <c r="E149" s="15" t="s">
        <v>4515</v>
      </c>
      <c r="F149" s="4"/>
      <c r="G149" s="4"/>
      <c r="H149" s="4"/>
      <c r="I149" s="4"/>
      <c r="J149" s="4"/>
      <c r="K149" s="4"/>
      <c r="L149" s="4"/>
      <c r="M149" s="4"/>
      <c r="N149" s="4"/>
      <c r="O149" s="4"/>
      <c r="P149" s="4"/>
      <c r="Q149" s="4"/>
      <c r="R149" s="4"/>
      <c r="S149" s="4"/>
      <c r="T149" s="4"/>
      <c r="U149" s="4"/>
      <c r="V149" s="4"/>
      <c r="W149" s="4"/>
      <c r="X149" s="4"/>
      <c r="Y149" s="4"/>
    </row>
    <row r="150" spans="1:25" ht="72">
      <c r="A150" s="15">
        <v>149</v>
      </c>
      <c r="B150" s="2" t="s">
        <v>4516</v>
      </c>
      <c r="C150" s="420">
        <v>41703</v>
      </c>
      <c r="D150" s="113" t="s">
        <v>4517</v>
      </c>
      <c r="E150" s="15" t="s">
        <v>4518</v>
      </c>
      <c r="F150" s="4"/>
      <c r="G150" s="4"/>
      <c r="H150" s="4"/>
      <c r="I150" s="4"/>
      <c r="J150" s="4"/>
      <c r="K150" s="4"/>
      <c r="L150" s="4"/>
      <c r="M150" s="4"/>
      <c r="N150" s="4"/>
      <c r="O150" s="4"/>
      <c r="P150" s="4"/>
      <c r="Q150" s="4"/>
      <c r="R150" s="4"/>
      <c r="S150" s="4"/>
      <c r="T150" s="4"/>
      <c r="U150" s="4"/>
      <c r="V150" s="4"/>
      <c r="W150" s="4"/>
      <c r="X150" s="4"/>
      <c r="Y150" s="4"/>
    </row>
    <row r="151" spans="1:25" ht="89.4" customHeight="1">
      <c r="A151" s="15">
        <v>150</v>
      </c>
      <c r="B151" s="2" t="s">
        <v>4519</v>
      </c>
      <c r="C151" s="420">
        <v>41704</v>
      </c>
      <c r="D151" s="113" t="s">
        <v>4520</v>
      </c>
      <c r="E151" s="15" t="s">
        <v>4521</v>
      </c>
      <c r="F151" s="4"/>
      <c r="G151" s="4"/>
      <c r="H151" s="4"/>
      <c r="I151" s="4"/>
      <c r="J151" s="4"/>
      <c r="K151" s="4"/>
      <c r="L151" s="4"/>
      <c r="M151" s="4"/>
      <c r="N151" s="4"/>
      <c r="O151" s="4"/>
      <c r="P151" s="4"/>
      <c r="Q151" s="4"/>
      <c r="R151" s="4"/>
      <c r="S151" s="4"/>
      <c r="T151" s="4"/>
      <c r="U151" s="4"/>
      <c r="V151" s="4"/>
      <c r="W151" s="4"/>
      <c r="X151" s="4"/>
      <c r="Y151" s="4"/>
    </row>
    <row r="152" spans="1:25" ht="86.4">
      <c r="A152" s="15">
        <v>151</v>
      </c>
      <c r="B152" s="2" t="s">
        <v>4522</v>
      </c>
      <c r="C152" s="420">
        <v>41710</v>
      </c>
      <c r="D152" s="113" t="s">
        <v>4523</v>
      </c>
      <c r="E152" s="113" t="s">
        <v>4524</v>
      </c>
      <c r="F152" s="4"/>
      <c r="G152" s="4"/>
      <c r="H152" s="4"/>
      <c r="I152" s="4"/>
      <c r="J152" s="4"/>
      <c r="K152" s="4"/>
      <c r="L152" s="4"/>
      <c r="M152" s="4"/>
      <c r="N152" s="4"/>
      <c r="O152" s="4"/>
      <c r="P152" s="4"/>
      <c r="Q152" s="4"/>
      <c r="R152" s="4"/>
      <c r="S152" s="4"/>
      <c r="T152" s="4"/>
      <c r="U152" s="4"/>
      <c r="V152" s="4"/>
      <c r="W152" s="4"/>
      <c r="X152" s="4"/>
      <c r="Y152" s="4"/>
    </row>
    <row r="153" spans="1:25" ht="144">
      <c r="A153" s="113">
        <v>152</v>
      </c>
      <c r="B153" s="2" t="s">
        <v>4525</v>
      </c>
      <c r="C153" s="436">
        <v>41757</v>
      </c>
      <c r="D153" s="113" t="s">
        <v>4526</v>
      </c>
      <c r="E153" s="113" t="s">
        <v>4527</v>
      </c>
      <c r="F153" s="4"/>
      <c r="G153" s="4"/>
      <c r="H153" s="4"/>
      <c r="I153" s="4"/>
      <c r="J153" s="4"/>
      <c r="K153" s="4"/>
      <c r="L153" s="4"/>
      <c r="M153" s="4"/>
      <c r="N153" s="4"/>
      <c r="O153" s="4"/>
      <c r="P153" s="4"/>
      <c r="Q153" s="4"/>
      <c r="R153" s="4"/>
      <c r="S153" s="4"/>
      <c r="T153" s="4"/>
      <c r="U153" s="4"/>
      <c r="V153" s="4"/>
      <c r="W153" s="4"/>
      <c r="X153" s="4"/>
      <c r="Y153" s="4"/>
    </row>
    <row r="154" spans="1:25" ht="100.8">
      <c r="A154" s="15">
        <v>153</v>
      </c>
      <c r="B154" s="2" t="s">
        <v>4528</v>
      </c>
      <c r="C154" s="420">
        <v>41885</v>
      </c>
      <c r="D154" s="113" t="s">
        <v>4529</v>
      </c>
      <c r="E154" s="113" t="s">
        <v>4530</v>
      </c>
      <c r="F154" s="4"/>
      <c r="G154" s="4"/>
      <c r="H154" s="4"/>
      <c r="I154" s="4"/>
      <c r="J154" s="4"/>
      <c r="K154" s="4"/>
      <c r="L154" s="4"/>
      <c r="M154" s="4"/>
      <c r="N154" s="4"/>
      <c r="O154" s="4"/>
      <c r="P154" s="4"/>
      <c r="Q154" s="4"/>
      <c r="R154" s="4"/>
      <c r="S154" s="4"/>
      <c r="T154" s="4"/>
      <c r="U154" s="4"/>
      <c r="V154" s="4"/>
      <c r="W154" s="4"/>
      <c r="X154" s="4"/>
      <c r="Y154" s="4"/>
    </row>
    <row r="155" spans="1:25" ht="115.2">
      <c r="A155" s="15">
        <v>154</v>
      </c>
      <c r="B155" s="8" t="s">
        <v>4531</v>
      </c>
      <c r="C155" s="420">
        <v>41911</v>
      </c>
      <c r="D155" s="113" t="s">
        <v>4532</v>
      </c>
      <c r="E155" s="113" t="s">
        <v>4533</v>
      </c>
      <c r="F155" s="4"/>
      <c r="G155" s="4"/>
      <c r="H155" s="4"/>
      <c r="I155" s="4"/>
      <c r="J155" s="4"/>
      <c r="K155" s="4"/>
      <c r="L155" s="4"/>
      <c r="M155" s="4"/>
      <c r="N155" s="4"/>
      <c r="O155" s="4"/>
      <c r="P155" s="4"/>
      <c r="Q155" s="4"/>
      <c r="R155" s="4"/>
      <c r="S155" s="4"/>
      <c r="T155" s="4"/>
      <c r="U155" s="4"/>
      <c r="V155" s="4"/>
      <c r="W155" s="4"/>
      <c r="X155" s="4"/>
      <c r="Y155" s="4"/>
    </row>
    <row r="156" spans="1:25" ht="86.4">
      <c r="A156" s="15">
        <v>155</v>
      </c>
      <c r="B156" s="2" t="s">
        <v>4534</v>
      </c>
      <c r="C156" s="420">
        <v>42079</v>
      </c>
      <c r="D156" s="113" t="s">
        <v>4911</v>
      </c>
      <c r="E156" s="113" t="s">
        <v>4535</v>
      </c>
      <c r="F156" s="4"/>
      <c r="G156" s="4"/>
      <c r="H156" s="4"/>
      <c r="I156" s="4"/>
      <c r="J156" s="4"/>
      <c r="K156" s="4"/>
      <c r="L156" s="4"/>
      <c r="M156" s="4"/>
      <c r="N156" s="4"/>
      <c r="O156" s="4"/>
      <c r="P156" s="4"/>
      <c r="Q156" s="4"/>
      <c r="R156" s="4"/>
      <c r="S156" s="4"/>
      <c r="T156" s="4"/>
      <c r="U156" s="4"/>
      <c r="V156" s="4"/>
      <c r="W156" s="4"/>
      <c r="X156" s="4"/>
      <c r="Y156" s="4"/>
    </row>
    <row r="157" spans="1:25" ht="115.2">
      <c r="A157" s="113">
        <v>156</v>
      </c>
      <c r="B157" s="2" t="s">
        <v>4536</v>
      </c>
      <c r="C157" s="420">
        <v>42086</v>
      </c>
      <c r="D157" s="113" t="s">
        <v>4537</v>
      </c>
      <c r="E157" s="113" t="s">
        <v>4538</v>
      </c>
      <c r="F157" s="4"/>
      <c r="G157" s="4"/>
      <c r="H157" s="4"/>
      <c r="I157" s="4"/>
      <c r="J157" s="4"/>
      <c r="K157" s="4"/>
      <c r="L157" s="4"/>
      <c r="M157" s="4"/>
      <c r="N157" s="4"/>
      <c r="O157" s="4"/>
      <c r="P157" s="4"/>
      <c r="Q157" s="4"/>
      <c r="R157" s="4"/>
      <c r="S157" s="4"/>
      <c r="T157" s="4"/>
      <c r="U157" s="4"/>
      <c r="V157" s="4"/>
      <c r="W157" s="4"/>
      <c r="X157" s="4"/>
      <c r="Y157" s="4"/>
    </row>
    <row r="158" spans="1:25" ht="115.2">
      <c r="A158" s="422">
        <v>157</v>
      </c>
      <c r="B158" s="24" t="s">
        <v>4539</v>
      </c>
      <c r="C158" s="437">
        <v>42088</v>
      </c>
      <c r="D158" s="33" t="s">
        <v>4540</v>
      </c>
      <c r="E158" s="353" t="s">
        <v>4541</v>
      </c>
      <c r="F158" s="4"/>
      <c r="G158" s="4"/>
      <c r="H158" s="4"/>
      <c r="I158" s="4"/>
      <c r="J158" s="4"/>
      <c r="K158" s="4"/>
      <c r="L158" s="4"/>
      <c r="M158" s="4"/>
      <c r="N158" s="4"/>
      <c r="O158" s="4"/>
      <c r="P158" s="4"/>
      <c r="Q158" s="4"/>
      <c r="R158" s="4"/>
      <c r="S158" s="4"/>
      <c r="T158" s="4"/>
      <c r="U158" s="4"/>
      <c r="V158" s="4"/>
      <c r="W158" s="4"/>
      <c r="X158" s="4"/>
      <c r="Y158" s="4"/>
    </row>
    <row r="159" spans="1:25" ht="129.6">
      <c r="A159" s="15">
        <v>158</v>
      </c>
      <c r="B159" s="2" t="s">
        <v>4542</v>
      </c>
      <c r="C159" s="420">
        <v>42089</v>
      </c>
      <c r="D159" s="113" t="s">
        <v>4543</v>
      </c>
      <c r="E159" s="113" t="s">
        <v>4544</v>
      </c>
      <c r="F159" s="4"/>
      <c r="G159" s="4"/>
      <c r="H159" s="4"/>
      <c r="I159" s="4"/>
      <c r="J159" s="4"/>
      <c r="K159" s="4"/>
      <c r="L159" s="4"/>
      <c r="M159" s="4"/>
      <c r="N159" s="4"/>
      <c r="O159" s="4"/>
      <c r="P159" s="4"/>
      <c r="Q159" s="4"/>
      <c r="R159" s="4"/>
      <c r="S159" s="4"/>
      <c r="T159" s="4"/>
      <c r="U159" s="4"/>
      <c r="V159" s="4"/>
      <c r="W159" s="4"/>
      <c r="X159" s="4"/>
      <c r="Y159" s="4"/>
    </row>
    <row r="160" spans="1:25" ht="86.4">
      <c r="A160" s="15">
        <v>159</v>
      </c>
      <c r="B160" s="8" t="s">
        <v>4545</v>
      </c>
      <c r="C160" s="420">
        <v>42149</v>
      </c>
      <c r="D160" s="113" t="s">
        <v>4546</v>
      </c>
      <c r="E160" s="15" t="s">
        <v>227</v>
      </c>
      <c r="F160" s="4"/>
      <c r="G160" s="4"/>
      <c r="H160" s="4"/>
      <c r="I160" s="4"/>
      <c r="J160" s="4"/>
      <c r="K160" s="4"/>
      <c r="L160" s="4"/>
      <c r="M160" s="4"/>
      <c r="N160" s="4"/>
      <c r="O160" s="4"/>
      <c r="P160" s="4"/>
      <c r="Q160" s="4"/>
      <c r="R160" s="4"/>
      <c r="S160" s="4"/>
      <c r="T160" s="4"/>
      <c r="U160" s="4"/>
      <c r="V160" s="4"/>
      <c r="W160" s="4"/>
      <c r="X160" s="4"/>
      <c r="Y160" s="4"/>
    </row>
    <row r="161" spans="1:25" ht="158.4">
      <c r="A161" s="15">
        <v>160</v>
      </c>
      <c r="B161" s="2" t="s">
        <v>4547</v>
      </c>
      <c r="C161" s="420">
        <v>42180</v>
      </c>
      <c r="D161" s="113" t="s">
        <v>4548</v>
      </c>
      <c r="E161" s="15" t="s">
        <v>1547</v>
      </c>
      <c r="F161" s="4"/>
      <c r="G161" s="4"/>
      <c r="H161" s="4"/>
      <c r="I161" s="4"/>
      <c r="J161" s="4"/>
      <c r="K161" s="4"/>
      <c r="L161" s="4"/>
      <c r="M161" s="4"/>
      <c r="N161" s="4"/>
      <c r="O161" s="4"/>
      <c r="P161" s="4"/>
      <c r="Q161" s="4"/>
      <c r="R161" s="4"/>
      <c r="S161" s="4"/>
      <c r="T161" s="4"/>
      <c r="U161" s="4"/>
      <c r="V161" s="4"/>
      <c r="W161" s="4"/>
      <c r="X161" s="4"/>
      <c r="Y161" s="4"/>
    </row>
    <row r="162" spans="1:25" ht="187.2">
      <c r="A162" s="15">
        <v>161</v>
      </c>
      <c r="B162" s="2" t="s">
        <v>4549</v>
      </c>
      <c r="C162" s="420">
        <v>42187</v>
      </c>
      <c r="D162" s="113" t="s">
        <v>4550</v>
      </c>
      <c r="E162" s="113" t="s">
        <v>4551</v>
      </c>
      <c r="F162" s="4"/>
      <c r="G162" s="4"/>
      <c r="H162" s="4"/>
      <c r="I162" s="4"/>
      <c r="J162" s="4"/>
      <c r="K162" s="4"/>
      <c r="L162" s="4"/>
      <c r="M162" s="4"/>
      <c r="N162" s="4"/>
      <c r="O162" s="4"/>
      <c r="P162" s="4"/>
      <c r="Q162" s="4"/>
      <c r="R162" s="4"/>
      <c r="S162" s="4"/>
      <c r="T162" s="4"/>
      <c r="U162" s="4"/>
      <c r="V162" s="4"/>
      <c r="W162" s="4"/>
      <c r="X162" s="4"/>
      <c r="Y162" s="4"/>
    </row>
    <row r="163" spans="1:25" ht="345.6">
      <c r="A163" s="15">
        <v>162</v>
      </c>
      <c r="B163" s="2" t="s">
        <v>4552</v>
      </c>
      <c r="C163" s="420">
        <v>42206</v>
      </c>
      <c r="D163" s="113" t="s">
        <v>4553</v>
      </c>
      <c r="E163" s="113" t="s">
        <v>4554</v>
      </c>
      <c r="F163" s="4"/>
      <c r="G163" s="4"/>
      <c r="H163" s="4"/>
      <c r="I163" s="4"/>
      <c r="J163" s="4"/>
      <c r="K163" s="4"/>
      <c r="L163" s="4"/>
      <c r="M163" s="4"/>
      <c r="N163" s="4"/>
      <c r="O163" s="4"/>
      <c r="P163" s="4"/>
      <c r="Q163" s="4"/>
      <c r="R163" s="4"/>
      <c r="S163" s="4"/>
      <c r="T163" s="4"/>
      <c r="U163" s="4"/>
      <c r="V163" s="4"/>
      <c r="W163" s="4"/>
      <c r="X163" s="4"/>
      <c r="Y163" s="4"/>
    </row>
    <row r="164" spans="1:25" ht="172.8">
      <c r="A164" s="15">
        <v>163</v>
      </c>
      <c r="B164" s="2" t="s">
        <v>4555</v>
      </c>
      <c r="C164" s="420">
        <v>42213</v>
      </c>
      <c r="D164" s="113" t="s">
        <v>4556</v>
      </c>
      <c r="E164" s="113" t="s">
        <v>4892</v>
      </c>
      <c r="F164" s="4"/>
      <c r="G164" s="4"/>
      <c r="H164" s="4"/>
      <c r="I164" s="4"/>
      <c r="J164" s="4"/>
      <c r="K164" s="4"/>
      <c r="L164" s="4"/>
      <c r="M164" s="4"/>
      <c r="N164" s="4"/>
      <c r="O164" s="4"/>
      <c r="P164" s="4"/>
      <c r="Q164" s="4"/>
      <c r="R164" s="4"/>
      <c r="S164" s="4"/>
      <c r="T164" s="4"/>
      <c r="U164" s="4"/>
      <c r="V164" s="4"/>
      <c r="W164" s="4"/>
      <c r="X164" s="4"/>
      <c r="Y164" s="4"/>
    </row>
    <row r="165" spans="1:25" ht="129.6">
      <c r="A165" s="422">
        <v>164</v>
      </c>
      <c r="B165" s="24" t="s">
        <v>4557</v>
      </c>
      <c r="C165" s="437">
        <v>42334</v>
      </c>
      <c r="D165" s="353" t="s">
        <v>4558</v>
      </c>
      <c r="E165" s="353" t="s">
        <v>4559</v>
      </c>
      <c r="F165" s="4"/>
      <c r="G165" s="4"/>
      <c r="H165" s="4"/>
      <c r="I165" s="4"/>
      <c r="J165" s="4"/>
      <c r="K165" s="4"/>
      <c r="L165" s="4"/>
      <c r="M165" s="4"/>
      <c r="N165" s="4"/>
      <c r="O165" s="4"/>
      <c r="P165" s="4"/>
      <c r="Q165" s="4"/>
      <c r="R165" s="4"/>
      <c r="S165" s="4"/>
      <c r="T165" s="4"/>
      <c r="U165" s="4"/>
      <c r="V165" s="4"/>
      <c r="W165" s="4"/>
      <c r="X165" s="4"/>
      <c r="Y165" s="4"/>
    </row>
    <row r="166" spans="1:25" ht="259.2">
      <c r="A166" s="15">
        <v>165</v>
      </c>
      <c r="B166" s="2" t="s">
        <v>4560</v>
      </c>
      <c r="C166" s="420">
        <v>42349</v>
      </c>
      <c r="D166" s="113" t="s">
        <v>4561</v>
      </c>
      <c r="E166" s="113" t="s">
        <v>4562</v>
      </c>
      <c r="F166" s="1"/>
      <c r="G166" s="1"/>
      <c r="H166" s="1"/>
      <c r="I166" s="1"/>
      <c r="J166" s="1"/>
      <c r="K166" s="1"/>
      <c r="L166" s="1"/>
      <c r="M166" s="1"/>
      <c r="N166" s="1"/>
      <c r="O166" s="1"/>
      <c r="P166" s="1"/>
      <c r="Q166" s="1"/>
      <c r="R166" s="1"/>
      <c r="S166" s="1"/>
      <c r="T166" s="1"/>
      <c r="U166" s="1"/>
      <c r="V166" s="1"/>
      <c r="W166" s="1"/>
      <c r="X166" s="1"/>
      <c r="Y166" s="1"/>
    </row>
    <row r="167" spans="1:25" ht="187.2">
      <c r="A167" s="15">
        <v>166</v>
      </c>
      <c r="B167" s="2" t="s">
        <v>4563</v>
      </c>
      <c r="C167" s="420">
        <v>42563</v>
      </c>
      <c r="D167" s="113" t="s">
        <v>4564</v>
      </c>
      <c r="E167" s="15" t="s">
        <v>4891</v>
      </c>
      <c r="F167" s="1"/>
      <c r="G167" s="1"/>
      <c r="H167" s="1"/>
      <c r="I167" s="1"/>
      <c r="J167" s="1"/>
      <c r="K167" s="1"/>
      <c r="L167" s="1"/>
      <c r="M167" s="1"/>
      <c r="N167" s="1"/>
      <c r="O167" s="1"/>
      <c r="P167" s="1"/>
      <c r="Q167" s="1"/>
      <c r="R167" s="1"/>
      <c r="S167" s="1"/>
      <c r="T167" s="1"/>
      <c r="U167" s="1"/>
      <c r="V167" s="1"/>
      <c r="W167" s="1"/>
      <c r="X167" s="1"/>
      <c r="Y167" s="1"/>
    </row>
    <row r="168" spans="1:25" ht="201.6">
      <c r="A168" s="15">
        <v>167</v>
      </c>
      <c r="B168" s="2" t="s">
        <v>4565</v>
      </c>
      <c r="C168" s="420">
        <v>42564</v>
      </c>
      <c r="D168" s="113" t="s">
        <v>4566</v>
      </c>
      <c r="E168" s="15" t="s">
        <v>4891</v>
      </c>
      <c r="F168" s="1"/>
      <c r="G168" s="1"/>
      <c r="H168" s="1"/>
      <c r="I168" s="1"/>
      <c r="J168" s="1"/>
      <c r="K168" s="1"/>
      <c r="L168" s="1"/>
      <c r="M168" s="1"/>
      <c r="N168" s="1"/>
      <c r="O168" s="1"/>
      <c r="P168" s="1"/>
      <c r="Q168" s="1"/>
      <c r="R168" s="1"/>
      <c r="S168" s="1"/>
      <c r="T168" s="1"/>
      <c r="U168" s="1"/>
      <c r="V168" s="1"/>
      <c r="W168" s="1"/>
      <c r="X168" s="1"/>
      <c r="Y168" s="1"/>
    </row>
    <row r="169" spans="1:25" ht="230.4">
      <c r="A169" s="15">
        <v>168</v>
      </c>
      <c r="B169" s="25" t="s">
        <v>4567</v>
      </c>
      <c r="C169" s="420">
        <v>42879</v>
      </c>
      <c r="D169" s="113" t="s">
        <v>4568</v>
      </c>
      <c r="E169" s="5" t="s">
        <v>4569</v>
      </c>
      <c r="F169" s="1"/>
      <c r="G169" s="1"/>
      <c r="H169" s="1"/>
      <c r="I169" s="1"/>
      <c r="J169" s="1"/>
      <c r="K169" s="1"/>
      <c r="L169" s="1"/>
      <c r="M169" s="1"/>
      <c r="N169" s="1"/>
      <c r="O169" s="1"/>
      <c r="P169" s="1"/>
      <c r="Q169" s="1"/>
      <c r="R169" s="1"/>
      <c r="S169" s="1"/>
      <c r="T169" s="1"/>
      <c r="U169" s="1"/>
      <c r="V169" s="1"/>
      <c r="W169" s="1"/>
      <c r="X169" s="1"/>
      <c r="Y169" s="1"/>
    </row>
    <row r="170" spans="1:25" ht="57.6">
      <c r="A170" s="15">
        <v>169</v>
      </c>
      <c r="B170" s="8" t="s">
        <v>4570</v>
      </c>
      <c r="C170" s="420">
        <v>42940</v>
      </c>
      <c r="D170" s="113" t="s">
        <v>4571</v>
      </c>
      <c r="E170" s="15" t="s">
        <v>432</v>
      </c>
      <c r="F170" s="26"/>
      <c r="G170" s="1"/>
      <c r="H170" s="1"/>
      <c r="I170" s="1"/>
      <c r="J170" s="1"/>
      <c r="K170" s="1"/>
      <c r="L170" s="1"/>
      <c r="M170" s="1"/>
      <c r="N170" s="1"/>
      <c r="O170" s="1"/>
      <c r="P170" s="1"/>
      <c r="Q170" s="1"/>
      <c r="R170" s="1"/>
      <c r="S170" s="1"/>
      <c r="T170" s="1"/>
      <c r="U170" s="1"/>
      <c r="V170" s="1"/>
      <c r="W170" s="1"/>
      <c r="X170" s="1"/>
      <c r="Y170" s="1"/>
    </row>
    <row r="171" spans="1:25" ht="14.4">
      <c r="A171" s="15">
        <v>170</v>
      </c>
      <c r="B171" s="8" t="s">
        <v>4572</v>
      </c>
      <c r="C171" s="420">
        <v>42933</v>
      </c>
      <c r="D171" s="15" t="s">
        <v>4573</v>
      </c>
      <c r="E171" s="15" t="s">
        <v>4574</v>
      </c>
      <c r="F171" s="4"/>
      <c r="G171" s="4"/>
      <c r="H171" s="4"/>
      <c r="I171" s="4"/>
      <c r="J171" s="4"/>
      <c r="K171" s="4"/>
      <c r="L171" s="4"/>
      <c r="M171" s="4"/>
      <c r="N171" s="4"/>
      <c r="O171" s="4"/>
      <c r="P171" s="4"/>
      <c r="Q171" s="4"/>
      <c r="R171" s="4"/>
      <c r="S171" s="4"/>
      <c r="T171" s="4"/>
      <c r="U171" s="4"/>
      <c r="V171" s="4"/>
      <c r="W171" s="4"/>
      <c r="X171" s="4"/>
      <c r="Y171" s="4"/>
    </row>
    <row r="172" spans="1:25" ht="57.6">
      <c r="A172" s="15">
        <v>171</v>
      </c>
      <c r="B172" s="8" t="s">
        <v>4575</v>
      </c>
      <c r="C172" s="420">
        <v>42935</v>
      </c>
      <c r="D172" s="113" t="s">
        <v>4576</v>
      </c>
      <c r="E172" s="113" t="s">
        <v>1977</v>
      </c>
      <c r="F172" s="4"/>
      <c r="G172" s="4"/>
      <c r="H172" s="4"/>
      <c r="I172" s="4"/>
      <c r="J172" s="4"/>
      <c r="K172" s="4"/>
      <c r="L172" s="4"/>
      <c r="M172" s="4"/>
      <c r="N172" s="4"/>
      <c r="O172" s="4"/>
      <c r="P172" s="4"/>
      <c r="Q172" s="4"/>
      <c r="R172" s="4"/>
      <c r="S172" s="4"/>
      <c r="T172" s="4"/>
      <c r="U172" s="4"/>
      <c r="V172" s="4"/>
      <c r="W172" s="4"/>
      <c r="X172" s="4"/>
      <c r="Y172" s="4"/>
    </row>
    <row r="173" spans="1:25" ht="43.2">
      <c r="A173" s="15">
        <v>172</v>
      </c>
      <c r="B173" s="2" t="s">
        <v>4577</v>
      </c>
      <c r="C173" s="420">
        <v>42942</v>
      </c>
      <c r="D173" s="113" t="s">
        <v>4578</v>
      </c>
      <c r="E173" s="15" t="s">
        <v>4579</v>
      </c>
      <c r="F173" s="4"/>
      <c r="G173" s="4"/>
      <c r="H173" s="4"/>
      <c r="I173" s="4"/>
      <c r="J173" s="4"/>
      <c r="K173" s="4"/>
      <c r="L173" s="4"/>
      <c r="M173" s="4"/>
      <c r="N173" s="4"/>
      <c r="O173" s="4"/>
      <c r="P173" s="4"/>
      <c r="Q173" s="4"/>
      <c r="R173" s="4"/>
      <c r="S173" s="4"/>
      <c r="T173" s="4"/>
      <c r="U173" s="4"/>
      <c r="V173" s="4"/>
      <c r="W173" s="4"/>
      <c r="X173" s="4"/>
      <c r="Y173" s="4"/>
    </row>
    <row r="174" spans="1:25" ht="72">
      <c r="A174" s="15">
        <v>173</v>
      </c>
      <c r="B174" s="2" t="s">
        <v>4580</v>
      </c>
      <c r="C174" s="420">
        <v>43293</v>
      </c>
      <c r="D174" s="113" t="s">
        <v>4912</v>
      </c>
      <c r="E174" s="15" t="s">
        <v>600</v>
      </c>
      <c r="F174" s="4"/>
      <c r="G174" s="4"/>
      <c r="H174" s="4"/>
      <c r="I174" s="4"/>
      <c r="J174" s="4"/>
      <c r="K174" s="4"/>
      <c r="L174" s="4"/>
      <c r="M174" s="4"/>
      <c r="N174" s="4"/>
      <c r="O174" s="4"/>
      <c r="P174" s="4"/>
      <c r="Q174" s="4"/>
      <c r="R174" s="4"/>
      <c r="S174" s="4"/>
      <c r="T174" s="4"/>
      <c r="U174" s="4"/>
      <c r="V174" s="4"/>
      <c r="W174" s="4"/>
      <c r="X174" s="4"/>
      <c r="Y174" s="4"/>
    </row>
    <row r="175" spans="1:25" ht="43.2">
      <c r="A175" s="15">
        <v>174</v>
      </c>
      <c r="B175" s="2" t="s">
        <v>4581</v>
      </c>
      <c r="C175" s="420">
        <v>43293</v>
      </c>
      <c r="D175" s="113" t="s">
        <v>4582</v>
      </c>
      <c r="E175" s="15" t="s">
        <v>600</v>
      </c>
      <c r="F175" s="4"/>
      <c r="G175" s="4"/>
      <c r="H175" s="4"/>
      <c r="I175" s="4"/>
      <c r="J175" s="4"/>
      <c r="K175" s="4"/>
      <c r="L175" s="4"/>
      <c r="M175" s="4"/>
      <c r="N175" s="4"/>
      <c r="O175" s="4"/>
      <c r="P175" s="4"/>
      <c r="Q175" s="4"/>
      <c r="R175" s="4"/>
      <c r="S175" s="4"/>
      <c r="T175" s="4"/>
      <c r="U175" s="4"/>
      <c r="V175" s="4"/>
      <c r="W175" s="4"/>
      <c r="X175" s="4"/>
      <c r="Y175" s="4"/>
    </row>
    <row r="176" spans="1:25" ht="86.4">
      <c r="A176" s="422">
        <v>175</v>
      </c>
      <c r="B176" s="24" t="str">
        <f>HYPERLINK("https://www.microsave.net/2019/03/07/a-comprehensive-framework-for-gender-centrality-in-financial-services/","A comprehensive framework for gender centrality in financial services")</f>
        <v>A comprehensive framework for gender centrality in financial services</v>
      </c>
      <c r="C176" s="437">
        <v>43531</v>
      </c>
      <c r="D176" s="353" t="s">
        <v>4583</v>
      </c>
      <c r="E176" s="353" t="s">
        <v>4584</v>
      </c>
      <c r="F176" s="4"/>
      <c r="G176" s="4"/>
      <c r="H176" s="4"/>
      <c r="I176" s="4"/>
      <c r="J176" s="4"/>
      <c r="K176" s="4"/>
      <c r="L176" s="4"/>
      <c r="M176" s="4"/>
      <c r="N176" s="4"/>
      <c r="O176" s="4"/>
      <c r="P176" s="4"/>
      <c r="Q176" s="4"/>
      <c r="R176" s="4"/>
      <c r="S176" s="4"/>
      <c r="T176" s="4"/>
      <c r="U176" s="4"/>
      <c r="V176" s="4"/>
      <c r="W176" s="4"/>
      <c r="X176" s="4"/>
      <c r="Y176" s="4"/>
    </row>
    <row r="177" spans="1:25" ht="57.6">
      <c r="A177" s="422">
        <v>176</v>
      </c>
      <c r="B177" s="12" t="str">
        <f>HYPERLINK("https://www.microsave.net/2019/07/04/creative-economies-as-a-gateway-to-pro-poor-tourism-in-india/","Creative economies as a gateway to pro-poor tourism in India")</f>
        <v>Creative economies as a gateway to pro-poor tourism in India</v>
      </c>
      <c r="C177" s="438">
        <v>43651</v>
      </c>
      <c r="D177" s="349" t="s">
        <v>4585</v>
      </c>
      <c r="E177" s="349" t="s">
        <v>4586</v>
      </c>
      <c r="F177" s="161"/>
      <c r="G177" s="161"/>
      <c r="H177" s="161"/>
      <c r="I177" s="161"/>
      <c r="J177" s="161"/>
      <c r="K177" s="161"/>
      <c r="L177" s="161"/>
      <c r="M177" s="161"/>
      <c r="N177" s="161"/>
      <c r="O177" s="161"/>
      <c r="P177" s="161"/>
      <c r="Q177" s="161"/>
      <c r="R177" s="161"/>
      <c r="S177" s="161"/>
      <c r="T177" s="161"/>
      <c r="U177" s="161"/>
      <c r="V177" s="161"/>
      <c r="W177" s="161"/>
      <c r="X177" s="161"/>
      <c r="Y177" s="161"/>
    </row>
    <row r="178" spans="1:25" ht="33.75" customHeight="1">
      <c r="A178" s="422">
        <v>177</v>
      </c>
      <c r="B178" s="27" t="s">
        <v>4587</v>
      </c>
      <c r="C178" s="437">
        <v>43843</v>
      </c>
      <c r="D178" s="353" t="s">
        <v>4588</v>
      </c>
      <c r="E178" s="353" t="s">
        <v>4589</v>
      </c>
      <c r="F178" s="4"/>
      <c r="G178" s="4"/>
      <c r="H178" s="4"/>
      <c r="I178" s="4"/>
      <c r="J178" s="4"/>
      <c r="K178" s="4"/>
      <c r="L178" s="4"/>
      <c r="M178" s="4"/>
      <c r="N178" s="4"/>
      <c r="O178" s="4"/>
      <c r="P178" s="4"/>
      <c r="Q178" s="4"/>
      <c r="R178" s="4"/>
      <c r="S178" s="4"/>
      <c r="T178" s="4"/>
      <c r="U178" s="4"/>
      <c r="V178" s="4"/>
      <c r="W178" s="4"/>
      <c r="X178" s="4"/>
      <c r="Y178" s="4"/>
    </row>
    <row r="179" spans="1:25" s="170" customFormat="1" ht="33.75" customHeight="1">
      <c r="A179" s="439">
        <v>178</v>
      </c>
      <c r="B179" s="179" t="s">
        <v>4590</v>
      </c>
      <c r="C179" s="440">
        <v>44294</v>
      </c>
      <c r="D179" s="336"/>
      <c r="E179" s="441" t="s">
        <v>878</v>
      </c>
      <c r="F179" s="169"/>
      <c r="G179" s="169"/>
      <c r="H179" s="169"/>
      <c r="I179" s="169"/>
      <c r="J179" s="169"/>
      <c r="K179" s="169"/>
      <c r="L179" s="169"/>
      <c r="M179" s="169"/>
      <c r="N179" s="169"/>
      <c r="O179" s="169"/>
      <c r="P179" s="169"/>
      <c r="Q179" s="169"/>
      <c r="R179" s="169"/>
      <c r="S179" s="169"/>
      <c r="T179" s="169"/>
      <c r="U179" s="169"/>
      <c r="V179" s="169"/>
      <c r="W179" s="169"/>
      <c r="X179" s="169"/>
      <c r="Y179" s="169"/>
    </row>
    <row r="180" spans="1:25" s="178" customFormat="1" ht="33.75" customHeight="1">
      <c r="A180" s="439">
        <v>179</v>
      </c>
      <c r="B180" s="180" t="s">
        <v>4591</v>
      </c>
      <c r="C180" s="442">
        <v>44413</v>
      </c>
      <c r="D180" s="443"/>
      <c r="E180" s="444" t="s">
        <v>909</v>
      </c>
    </row>
    <row r="181" spans="1:25" s="178" customFormat="1" ht="33.75" customHeight="1">
      <c r="A181" s="445">
        <v>180</v>
      </c>
      <c r="B181" s="181" t="s">
        <v>928</v>
      </c>
      <c r="C181" s="442">
        <v>44523</v>
      </c>
      <c r="D181" s="446"/>
      <c r="E181" s="444" t="s">
        <v>4592</v>
      </c>
    </row>
    <row r="182" spans="1:25" s="170" customFormat="1" ht="33.75" customHeight="1">
      <c r="A182" s="447">
        <v>181</v>
      </c>
      <c r="B182" s="168" t="s">
        <v>4593</v>
      </c>
      <c r="C182" s="448">
        <v>44599</v>
      </c>
      <c r="D182" s="449" t="s">
        <v>4594</v>
      </c>
      <c r="E182" s="449" t="s">
        <v>4595</v>
      </c>
      <c r="F182" s="169"/>
      <c r="G182" s="169"/>
      <c r="H182" s="169"/>
      <c r="I182" s="169"/>
      <c r="J182" s="169"/>
      <c r="K182" s="169"/>
      <c r="L182" s="169"/>
      <c r="M182" s="169"/>
      <c r="N182" s="169"/>
      <c r="O182" s="169"/>
      <c r="P182" s="169"/>
      <c r="Q182" s="169"/>
      <c r="R182" s="169"/>
      <c r="S182" s="169"/>
      <c r="T182" s="169"/>
      <c r="U182" s="169"/>
      <c r="V182" s="169"/>
      <c r="W182" s="169"/>
      <c r="X182" s="169"/>
      <c r="Y182" s="169"/>
    </row>
    <row r="183" spans="1:25" s="4" customFormat="1" ht="72">
      <c r="A183" s="90">
        <v>182</v>
      </c>
      <c r="B183" s="117" t="s">
        <v>4596</v>
      </c>
      <c r="C183" s="450">
        <v>45068</v>
      </c>
      <c r="D183" s="330" t="s">
        <v>4597</v>
      </c>
      <c r="E183" s="90" t="s">
        <v>4598</v>
      </c>
    </row>
    <row r="184" spans="1:25" ht="33.75" customHeight="1">
      <c r="A184" s="4"/>
      <c r="B184" s="5"/>
      <c r="C184" s="7"/>
      <c r="D184" s="161"/>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7"/>
      <c r="D185" s="161"/>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7"/>
      <c r="D186" s="161"/>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7"/>
      <c r="D187" s="161"/>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7"/>
      <c r="D188" s="161"/>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7"/>
      <c r="D189" s="161"/>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7"/>
      <c r="D190" s="161"/>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7"/>
      <c r="D191" s="161"/>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7"/>
      <c r="D192" s="161"/>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7"/>
      <c r="D193" s="161"/>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7"/>
      <c r="D194" s="161"/>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7"/>
      <c r="D195" s="161"/>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7"/>
      <c r="D196" s="161"/>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7"/>
      <c r="D197" s="161"/>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7"/>
      <c r="D198" s="161"/>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7"/>
      <c r="D199" s="161"/>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7"/>
      <c r="D200" s="161"/>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7"/>
      <c r="D201" s="161"/>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7"/>
      <c r="D202" s="161"/>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7"/>
      <c r="D203" s="161"/>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7"/>
      <c r="D204" s="161"/>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7"/>
      <c r="D205" s="161"/>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7"/>
      <c r="D206" s="161"/>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7"/>
      <c r="D207" s="161"/>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7"/>
      <c r="D208" s="161"/>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7"/>
      <c r="D209" s="161"/>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7"/>
      <c r="D210" s="161"/>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7"/>
      <c r="D211" s="161"/>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7"/>
      <c r="D212" s="161"/>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7"/>
      <c r="D213" s="161"/>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7"/>
      <c r="D214" s="161"/>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7"/>
      <c r="D215" s="161"/>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7"/>
      <c r="D216" s="161"/>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7"/>
      <c r="D217" s="161"/>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7"/>
      <c r="D218" s="161"/>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7"/>
      <c r="D219" s="161"/>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7"/>
      <c r="D220" s="161"/>
      <c r="E220" s="4"/>
      <c r="F220" s="4"/>
      <c r="G220" s="4"/>
      <c r="H220" s="4"/>
      <c r="I220" s="4"/>
      <c r="J220" s="4"/>
      <c r="K220" s="4"/>
      <c r="L220" s="4"/>
      <c r="M220" s="4"/>
      <c r="N220" s="4"/>
      <c r="O220" s="4"/>
      <c r="P220" s="4"/>
      <c r="Q220" s="4"/>
      <c r="R220" s="4"/>
      <c r="S220" s="4"/>
      <c r="T220" s="4"/>
      <c r="U220" s="4"/>
      <c r="V220" s="4"/>
      <c r="W220" s="4"/>
      <c r="X220" s="4"/>
      <c r="Y220" s="4"/>
    </row>
    <row r="221" spans="1:25" ht="33.75" customHeight="1">
      <c r="A221" s="4"/>
      <c r="B221" s="5"/>
      <c r="C221" s="7"/>
      <c r="D221" s="161"/>
      <c r="E221" s="4"/>
      <c r="F221" s="4"/>
      <c r="G221" s="4"/>
      <c r="H221" s="4"/>
      <c r="I221" s="4"/>
      <c r="J221" s="4"/>
      <c r="K221" s="4"/>
      <c r="L221" s="4"/>
      <c r="M221" s="4"/>
      <c r="N221" s="4"/>
      <c r="O221" s="4"/>
      <c r="P221" s="4"/>
      <c r="Q221" s="4"/>
      <c r="R221" s="4"/>
      <c r="S221" s="4"/>
      <c r="T221" s="4"/>
      <c r="U221" s="4"/>
      <c r="V221" s="4"/>
      <c r="W221" s="4"/>
      <c r="X221" s="4"/>
      <c r="Y221" s="4"/>
    </row>
    <row r="222" spans="1:25" ht="33.75" customHeight="1">
      <c r="A222" s="4"/>
      <c r="B222" s="5"/>
      <c r="C222" s="7"/>
      <c r="D222" s="161"/>
      <c r="E222" s="4"/>
      <c r="F222" s="4"/>
      <c r="G222" s="4"/>
      <c r="H222" s="4"/>
      <c r="I222" s="4"/>
      <c r="J222" s="4"/>
      <c r="K222" s="4"/>
      <c r="L222" s="4"/>
      <c r="M222" s="4"/>
      <c r="N222" s="4"/>
      <c r="O222" s="4"/>
      <c r="P222" s="4"/>
      <c r="Q222" s="4"/>
      <c r="R222" s="4"/>
      <c r="S222" s="4"/>
      <c r="T222" s="4"/>
      <c r="U222" s="4"/>
      <c r="V222" s="4"/>
      <c r="W222" s="4"/>
      <c r="X222" s="4"/>
      <c r="Y222" s="4"/>
    </row>
    <row r="223" spans="1:25" ht="33.75" customHeight="1">
      <c r="A223" s="4"/>
      <c r="B223" s="5"/>
      <c r="C223" s="7"/>
      <c r="D223" s="161"/>
      <c r="E223" s="4"/>
      <c r="F223" s="4"/>
      <c r="G223" s="4"/>
      <c r="H223" s="4"/>
      <c r="I223" s="4"/>
      <c r="J223" s="4"/>
      <c r="K223" s="4"/>
      <c r="L223" s="4"/>
      <c r="M223" s="4"/>
      <c r="N223" s="4"/>
      <c r="O223" s="4"/>
      <c r="P223" s="4"/>
      <c r="Q223" s="4"/>
      <c r="R223" s="4"/>
      <c r="S223" s="4"/>
      <c r="T223" s="4"/>
      <c r="U223" s="4"/>
      <c r="V223" s="4"/>
      <c r="W223" s="4"/>
      <c r="X223" s="4"/>
      <c r="Y223" s="4"/>
    </row>
    <row r="224" spans="1:25" ht="33.75" customHeight="1">
      <c r="A224" s="4"/>
      <c r="B224" s="5"/>
      <c r="C224" s="7"/>
      <c r="D224" s="161"/>
      <c r="E224" s="4"/>
      <c r="F224" s="4"/>
      <c r="G224" s="4"/>
      <c r="H224" s="4"/>
      <c r="I224" s="4"/>
      <c r="J224" s="4"/>
      <c r="K224" s="4"/>
      <c r="L224" s="4"/>
      <c r="M224" s="4"/>
      <c r="N224" s="4"/>
      <c r="O224" s="4"/>
      <c r="P224" s="4"/>
      <c r="Q224" s="4"/>
      <c r="R224" s="4"/>
      <c r="S224" s="4"/>
      <c r="T224" s="4"/>
      <c r="U224" s="4"/>
      <c r="V224" s="4"/>
      <c r="W224" s="4"/>
      <c r="X224" s="4"/>
      <c r="Y224" s="4"/>
    </row>
    <row r="225" spans="1:25" ht="33.75" customHeight="1">
      <c r="A225" s="4"/>
      <c r="B225" s="5"/>
      <c r="C225" s="7"/>
      <c r="D225" s="161"/>
      <c r="E225" s="4"/>
      <c r="F225" s="4"/>
      <c r="G225" s="4"/>
      <c r="H225" s="4"/>
      <c r="I225" s="4"/>
      <c r="J225" s="4"/>
      <c r="K225" s="4"/>
      <c r="L225" s="4"/>
      <c r="M225" s="4"/>
      <c r="N225" s="4"/>
      <c r="O225" s="4"/>
      <c r="P225" s="4"/>
      <c r="Q225" s="4"/>
      <c r="R225" s="4"/>
      <c r="S225" s="4"/>
      <c r="T225" s="4"/>
      <c r="U225" s="4"/>
      <c r="V225" s="4"/>
      <c r="W225" s="4"/>
      <c r="X225" s="4"/>
      <c r="Y225" s="4"/>
    </row>
    <row r="226" spans="1:25" ht="33.75" customHeight="1">
      <c r="A226" s="4"/>
      <c r="B226" s="5"/>
      <c r="C226" s="7"/>
      <c r="D226" s="161"/>
      <c r="E226" s="4"/>
      <c r="F226" s="4"/>
      <c r="G226" s="4"/>
      <c r="H226" s="4"/>
      <c r="I226" s="4"/>
      <c r="J226" s="4"/>
      <c r="K226" s="4"/>
      <c r="L226" s="4"/>
      <c r="M226" s="4"/>
      <c r="N226" s="4"/>
      <c r="O226" s="4"/>
      <c r="P226" s="4"/>
      <c r="Q226" s="4"/>
      <c r="R226" s="4"/>
      <c r="S226" s="4"/>
      <c r="T226" s="4"/>
      <c r="U226" s="4"/>
      <c r="V226" s="4"/>
      <c r="W226" s="4"/>
      <c r="X226" s="4"/>
      <c r="Y226" s="4"/>
    </row>
    <row r="227" spans="1:25" ht="33.75" customHeight="1">
      <c r="A227" s="4"/>
      <c r="B227" s="5"/>
      <c r="C227" s="7"/>
      <c r="D227" s="161"/>
      <c r="E227" s="4"/>
      <c r="F227" s="4"/>
      <c r="G227" s="4"/>
      <c r="H227" s="4"/>
      <c r="I227" s="4"/>
      <c r="J227" s="4"/>
      <c r="K227" s="4"/>
      <c r="L227" s="4"/>
      <c r="M227" s="4"/>
      <c r="N227" s="4"/>
      <c r="O227" s="4"/>
      <c r="P227" s="4"/>
      <c r="Q227" s="4"/>
      <c r="R227" s="4"/>
      <c r="S227" s="4"/>
      <c r="T227" s="4"/>
      <c r="U227" s="4"/>
      <c r="V227" s="4"/>
      <c r="W227" s="4"/>
      <c r="X227" s="4"/>
      <c r="Y227" s="4"/>
    </row>
    <row r="228" spans="1:25" ht="33.75" customHeight="1">
      <c r="A228" s="4"/>
      <c r="B228" s="5"/>
      <c r="C228" s="7"/>
      <c r="D228" s="161"/>
      <c r="E228" s="4"/>
      <c r="F228" s="4"/>
      <c r="G228" s="4"/>
      <c r="H228" s="4"/>
      <c r="I228" s="4"/>
      <c r="J228" s="4"/>
      <c r="K228" s="4"/>
      <c r="L228" s="4"/>
      <c r="M228" s="4"/>
      <c r="N228" s="4"/>
      <c r="O228" s="4"/>
      <c r="P228" s="4"/>
      <c r="Q228" s="4"/>
      <c r="R228" s="4"/>
      <c r="S228" s="4"/>
      <c r="T228" s="4"/>
      <c r="U228" s="4"/>
      <c r="V228" s="4"/>
      <c r="W228" s="4"/>
      <c r="X228" s="4"/>
      <c r="Y228" s="4"/>
    </row>
    <row r="229" spans="1:25" ht="33.75" customHeight="1">
      <c r="A229" s="4"/>
      <c r="B229" s="5"/>
      <c r="C229" s="7"/>
      <c r="D229" s="161"/>
      <c r="E229" s="4"/>
      <c r="F229" s="4"/>
      <c r="G229" s="4"/>
      <c r="H229" s="4"/>
      <c r="I229" s="4"/>
      <c r="J229" s="4"/>
      <c r="K229" s="4"/>
      <c r="L229" s="4"/>
      <c r="M229" s="4"/>
      <c r="N229" s="4"/>
      <c r="O229" s="4"/>
      <c r="P229" s="4"/>
      <c r="Q229" s="4"/>
      <c r="R229" s="4"/>
      <c r="S229" s="4"/>
      <c r="T229" s="4"/>
      <c r="U229" s="4"/>
      <c r="V229" s="4"/>
      <c r="W229" s="4"/>
      <c r="X229" s="4"/>
      <c r="Y229" s="4"/>
    </row>
    <row r="230" spans="1:25" ht="33.75" customHeight="1">
      <c r="A230" s="4"/>
      <c r="B230" s="5"/>
      <c r="C230" s="7"/>
      <c r="D230" s="161"/>
      <c r="E230" s="4"/>
      <c r="F230" s="4"/>
      <c r="G230" s="4"/>
      <c r="H230" s="4"/>
      <c r="I230" s="4"/>
      <c r="J230" s="4"/>
      <c r="K230" s="4"/>
      <c r="L230" s="4"/>
      <c r="M230" s="4"/>
      <c r="N230" s="4"/>
      <c r="O230" s="4"/>
      <c r="P230" s="4"/>
      <c r="Q230" s="4"/>
      <c r="R230" s="4"/>
      <c r="S230" s="4"/>
      <c r="T230" s="4"/>
      <c r="U230" s="4"/>
      <c r="V230" s="4"/>
      <c r="W230" s="4"/>
      <c r="X230" s="4"/>
      <c r="Y230" s="4"/>
    </row>
    <row r="231" spans="1:25" ht="33.75" customHeight="1">
      <c r="A231" s="4"/>
      <c r="B231" s="5"/>
      <c r="C231" s="7"/>
      <c r="D231" s="161"/>
      <c r="E231" s="4"/>
      <c r="F231" s="4"/>
      <c r="G231" s="4"/>
      <c r="H231" s="4"/>
      <c r="I231" s="4"/>
      <c r="J231" s="4"/>
      <c r="K231" s="4"/>
      <c r="L231" s="4"/>
      <c r="M231" s="4"/>
      <c r="N231" s="4"/>
      <c r="O231" s="4"/>
      <c r="P231" s="4"/>
      <c r="Q231" s="4"/>
      <c r="R231" s="4"/>
      <c r="S231" s="4"/>
      <c r="T231" s="4"/>
      <c r="U231" s="4"/>
      <c r="V231" s="4"/>
      <c r="W231" s="4"/>
      <c r="X231" s="4"/>
      <c r="Y231" s="4"/>
    </row>
    <row r="232" spans="1:25" ht="33.75" customHeight="1">
      <c r="A232" s="4"/>
      <c r="B232" s="5"/>
      <c r="C232" s="7"/>
      <c r="D232" s="161"/>
      <c r="E232" s="4"/>
      <c r="F232" s="4"/>
      <c r="G232" s="4"/>
      <c r="H232" s="4"/>
      <c r="I232" s="4"/>
      <c r="J232" s="4"/>
      <c r="K232" s="4"/>
      <c r="L232" s="4"/>
      <c r="M232" s="4"/>
      <c r="N232" s="4"/>
      <c r="O232" s="4"/>
      <c r="P232" s="4"/>
      <c r="Q232" s="4"/>
      <c r="R232" s="4"/>
      <c r="S232" s="4"/>
      <c r="T232" s="4"/>
      <c r="U232" s="4"/>
      <c r="V232" s="4"/>
      <c r="W232" s="4"/>
      <c r="X232" s="4"/>
      <c r="Y232" s="4"/>
    </row>
    <row r="233" spans="1:25" ht="33.75" customHeight="1">
      <c r="A233" s="4"/>
      <c r="B233" s="5"/>
      <c r="C233" s="7"/>
      <c r="D233" s="161"/>
      <c r="E233" s="4"/>
      <c r="F233" s="4"/>
      <c r="G233" s="4"/>
      <c r="H233" s="4"/>
      <c r="I233" s="4"/>
      <c r="J233" s="4"/>
      <c r="K233" s="4"/>
      <c r="L233" s="4"/>
      <c r="M233" s="4"/>
      <c r="N233" s="4"/>
      <c r="O233" s="4"/>
      <c r="P233" s="4"/>
      <c r="Q233" s="4"/>
      <c r="R233" s="4"/>
      <c r="S233" s="4"/>
      <c r="T233" s="4"/>
      <c r="U233" s="4"/>
      <c r="V233" s="4"/>
      <c r="W233" s="4"/>
      <c r="X233" s="4"/>
      <c r="Y233" s="4"/>
    </row>
    <row r="234" spans="1:25" ht="33.75" customHeight="1">
      <c r="A234" s="4"/>
      <c r="B234" s="5"/>
      <c r="C234" s="7"/>
      <c r="D234" s="161"/>
      <c r="E234" s="4"/>
      <c r="F234" s="4"/>
      <c r="G234" s="4"/>
      <c r="H234" s="4"/>
      <c r="I234" s="4"/>
      <c r="J234" s="4"/>
      <c r="K234" s="4"/>
      <c r="L234" s="4"/>
      <c r="M234" s="4"/>
      <c r="N234" s="4"/>
      <c r="O234" s="4"/>
      <c r="P234" s="4"/>
      <c r="Q234" s="4"/>
      <c r="R234" s="4"/>
      <c r="S234" s="4"/>
      <c r="T234" s="4"/>
      <c r="U234" s="4"/>
      <c r="V234" s="4"/>
      <c r="W234" s="4"/>
      <c r="X234" s="4"/>
      <c r="Y234" s="4"/>
    </row>
    <row r="235" spans="1:25" ht="33.75" customHeight="1">
      <c r="A235" s="4"/>
      <c r="B235" s="5"/>
      <c r="C235" s="7"/>
      <c r="D235" s="161"/>
      <c r="E235" s="4"/>
      <c r="F235" s="4"/>
      <c r="G235" s="4"/>
      <c r="H235" s="4"/>
      <c r="I235" s="4"/>
      <c r="J235" s="4"/>
      <c r="K235" s="4"/>
      <c r="L235" s="4"/>
      <c r="M235" s="4"/>
      <c r="N235" s="4"/>
      <c r="O235" s="4"/>
      <c r="P235" s="4"/>
      <c r="Q235" s="4"/>
      <c r="R235" s="4"/>
      <c r="S235" s="4"/>
      <c r="T235" s="4"/>
      <c r="U235" s="4"/>
      <c r="V235" s="4"/>
      <c r="W235" s="4"/>
      <c r="X235" s="4"/>
      <c r="Y235" s="4"/>
    </row>
    <row r="236" spans="1:25" ht="33.75" customHeight="1">
      <c r="A236" s="4"/>
      <c r="B236" s="5"/>
      <c r="C236" s="7"/>
      <c r="D236" s="161"/>
      <c r="E236" s="4"/>
      <c r="F236" s="4"/>
      <c r="G236" s="4"/>
      <c r="H236" s="4"/>
      <c r="I236" s="4"/>
      <c r="J236" s="4"/>
      <c r="K236" s="4"/>
      <c r="L236" s="4"/>
      <c r="M236" s="4"/>
      <c r="N236" s="4"/>
      <c r="O236" s="4"/>
      <c r="P236" s="4"/>
      <c r="Q236" s="4"/>
      <c r="R236" s="4"/>
      <c r="S236" s="4"/>
      <c r="T236" s="4"/>
      <c r="U236" s="4"/>
      <c r="V236" s="4"/>
      <c r="W236" s="4"/>
      <c r="X236" s="4"/>
      <c r="Y236" s="4"/>
    </row>
    <row r="237" spans="1:25" ht="33.75" customHeight="1">
      <c r="A237" s="4"/>
      <c r="B237" s="5"/>
      <c r="C237" s="7"/>
      <c r="D237" s="161"/>
      <c r="E237" s="4"/>
      <c r="F237" s="4"/>
      <c r="G237" s="4"/>
      <c r="H237" s="4"/>
      <c r="I237" s="4"/>
      <c r="J237" s="4"/>
      <c r="K237" s="4"/>
      <c r="L237" s="4"/>
      <c r="M237" s="4"/>
      <c r="N237" s="4"/>
      <c r="O237" s="4"/>
      <c r="P237" s="4"/>
      <c r="Q237" s="4"/>
      <c r="R237" s="4"/>
      <c r="S237" s="4"/>
      <c r="T237" s="4"/>
      <c r="U237" s="4"/>
      <c r="V237" s="4"/>
      <c r="W237" s="4"/>
      <c r="X237" s="4"/>
      <c r="Y237" s="4"/>
    </row>
    <row r="238" spans="1:25" ht="33.75" customHeight="1">
      <c r="A238" s="4"/>
      <c r="B238" s="5"/>
      <c r="C238" s="7"/>
      <c r="D238" s="161"/>
      <c r="E238" s="4"/>
      <c r="F238" s="4"/>
      <c r="G238" s="4"/>
      <c r="H238" s="4"/>
      <c r="I238" s="4"/>
      <c r="J238" s="4"/>
      <c r="K238" s="4"/>
      <c r="L238" s="4"/>
      <c r="M238" s="4"/>
      <c r="N238" s="4"/>
      <c r="O238" s="4"/>
      <c r="P238" s="4"/>
      <c r="Q238" s="4"/>
      <c r="R238" s="4"/>
      <c r="S238" s="4"/>
      <c r="T238" s="4"/>
      <c r="U238" s="4"/>
      <c r="V238" s="4"/>
      <c r="W238" s="4"/>
      <c r="X238" s="4"/>
      <c r="Y238" s="4"/>
    </row>
    <row r="239" spans="1:25" ht="33.75" customHeight="1">
      <c r="A239" s="4"/>
      <c r="B239" s="5"/>
      <c r="C239" s="7"/>
      <c r="D239" s="161"/>
      <c r="E239" s="4"/>
      <c r="F239" s="4"/>
      <c r="G239" s="4"/>
      <c r="H239" s="4"/>
      <c r="I239" s="4"/>
      <c r="J239" s="4"/>
      <c r="K239" s="4"/>
      <c r="L239" s="4"/>
      <c r="M239" s="4"/>
      <c r="N239" s="4"/>
      <c r="O239" s="4"/>
      <c r="P239" s="4"/>
      <c r="Q239" s="4"/>
      <c r="R239" s="4"/>
      <c r="S239" s="4"/>
      <c r="T239" s="4"/>
      <c r="U239" s="4"/>
      <c r="V239" s="4"/>
      <c r="W239" s="4"/>
      <c r="X239" s="4"/>
      <c r="Y239" s="4"/>
    </row>
    <row r="240" spans="1:25" ht="33.75" customHeight="1">
      <c r="A240" s="4"/>
      <c r="B240" s="5"/>
      <c r="C240" s="7"/>
      <c r="D240" s="161"/>
      <c r="E240" s="4"/>
      <c r="F240" s="4"/>
      <c r="G240" s="4"/>
      <c r="H240" s="4"/>
      <c r="I240" s="4"/>
      <c r="J240" s="4"/>
      <c r="K240" s="4"/>
      <c r="L240" s="4"/>
      <c r="M240" s="4"/>
      <c r="N240" s="4"/>
      <c r="O240" s="4"/>
      <c r="P240" s="4"/>
      <c r="Q240" s="4"/>
      <c r="R240" s="4"/>
      <c r="S240" s="4"/>
      <c r="T240" s="4"/>
      <c r="U240" s="4"/>
      <c r="V240" s="4"/>
      <c r="W240" s="4"/>
      <c r="X240" s="4"/>
      <c r="Y240" s="4"/>
    </row>
    <row r="241" spans="1:25" ht="33.75" customHeight="1">
      <c r="A241" s="4"/>
      <c r="B241" s="5"/>
      <c r="C241" s="7"/>
      <c r="D241" s="161"/>
      <c r="E241" s="4"/>
      <c r="F241" s="4"/>
      <c r="G241" s="4"/>
      <c r="H241" s="4"/>
      <c r="I241" s="4"/>
      <c r="J241" s="4"/>
      <c r="K241" s="4"/>
      <c r="L241" s="4"/>
      <c r="M241" s="4"/>
      <c r="N241" s="4"/>
      <c r="O241" s="4"/>
      <c r="P241" s="4"/>
      <c r="Q241" s="4"/>
      <c r="R241" s="4"/>
      <c r="S241" s="4"/>
      <c r="T241" s="4"/>
      <c r="U241" s="4"/>
      <c r="V241" s="4"/>
      <c r="W241" s="4"/>
      <c r="X241" s="4"/>
      <c r="Y241" s="4"/>
    </row>
    <row r="242" spans="1:25" ht="33.75" customHeight="1">
      <c r="A242" s="4"/>
      <c r="B242" s="5"/>
      <c r="C242" s="7"/>
      <c r="D242" s="161"/>
      <c r="E242" s="4"/>
      <c r="F242" s="4"/>
      <c r="G242" s="4"/>
      <c r="H242" s="4"/>
      <c r="I242" s="4"/>
      <c r="J242" s="4"/>
      <c r="K242" s="4"/>
      <c r="L242" s="4"/>
      <c r="M242" s="4"/>
      <c r="N242" s="4"/>
      <c r="O242" s="4"/>
      <c r="P242" s="4"/>
      <c r="Q242" s="4"/>
      <c r="R242" s="4"/>
      <c r="S242" s="4"/>
      <c r="T242" s="4"/>
      <c r="U242" s="4"/>
      <c r="V242" s="4"/>
      <c r="W242" s="4"/>
      <c r="X242" s="4"/>
      <c r="Y242" s="4"/>
    </row>
    <row r="243" spans="1:25" ht="33.75" customHeight="1">
      <c r="A243" s="4"/>
      <c r="B243" s="5"/>
      <c r="C243" s="7"/>
      <c r="D243" s="161"/>
      <c r="E243" s="4"/>
      <c r="F243" s="4"/>
      <c r="G243" s="4"/>
      <c r="H243" s="4"/>
      <c r="I243" s="4"/>
      <c r="J243" s="4"/>
      <c r="K243" s="4"/>
      <c r="L243" s="4"/>
      <c r="M243" s="4"/>
      <c r="N243" s="4"/>
      <c r="O243" s="4"/>
      <c r="P243" s="4"/>
      <c r="Q243" s="4"/>
      <c r="R243" s="4"/>
      <c r="S243" s="4"/>
      <c r="T243" s="4"/>
      <c r="U243" s="4"/>
      <c r="V243" s="4"/>
      <c r="W243" s="4"/>
      <c r="X243" s="4"/>
      <c r="Y243" s="4"/>
    </row>
    <row r="244" spans="1:25" ht="33.75" customHeight="1">
      <c r="A244" s="4"/>
      <c r="B244" s="5"/>
      <c r="C244" s="7"/>
      <c r="D244" s="161"/>
      <c r="E244" s="4"/>
      <c r="F244" s="4"/>
      <c r="G244" s="4"/>
      <c r="H244" s="4"/>
      <c r="I244" s="4"/>
      <c r="J244" s="4"/>
      <c r="K244" s="4"/>
      <c r="L244" s="4"/>
      <c r="M244" s="4"/>
      <c r="N244" s="4"/>
      <c r="O244" s="4"/>
      <c r="P244" s="4"/>
      <c r="Q244" s="4"/>
      <c r="R244" s="4"/>
      <c r="S244" s="4"/>
      <c r="T244" s="4"/>
      <c r="U244" s="4"/>
      <c r="V244" s="4"/>
      <c r="W244" s="4"/>
      <c r="X244" s="4"/>
      <c r="Y244" s="4"/>
    </row>
    <row r="245" spans="1:25" ht="33.75" customHeight="1">
      <c r="A245" s="4"/>
      <c r="B245" s="5"/>
      <c r="C245" s="7"/>
      <c r="D245" s="161"/>
      <c r="E245" s="4"/>
      <c r="F245" s="4"/>
      <c r="G245" s="4"/>
      <c r="H245" s="4"/>
      <c r="I245" s="4"/>
      <c r="J245" s="4"/>
      <c r="K245" s="4"/>
      <c r="L245" s="4"/>
      <c r="M245" s="4"/>
      <c r="N245" s="4"/>
      <c r="O245" s="4"/>
      <c r="P245" s="4"/>
      <c r="Q245" s="4"/>
      <c r="R245" s="4"/>
      <c r="S245" s="4"/>
      <c r="T245" s="4"/>
      <c r="U245" s="4"/>
      <c r="V245" s="4"/>
      <c r="W245" s="4"/>
      <c r="X245" s="4"/>
      <c r="Y245" s="4"/>
    </row>
    <row r="246" spans="1:25" ht="33.75" customHeight="1">
      <c r="A246" s="4"/>
      <c r="B246" s="5"/>
      <c r="C246" s="7"/>
      <c r="D246" s="161"/>
      <c r="E246" s="4"/>
      <c r="F246" s="4"/>
      <c r="G246" s="4"/>
      <c r="H246" s="4"/>
      <c r="I246" s="4"/>
      <c r="J246" s="4"/>
      <c r="K246" s="4"/>
      <c r="L246" s="4"/>
      <c r="M246" s="4"/>
      <c r="N246" s="4"/>
      <c r="O246" s="4"/>
      <c r="P246" s="4"/>
      <c r="Q246" s="4"/>
      <c r="R246" s="4"/>
      <c r="S246" s="4"/>
      <c r="T246" s="4"/>
      <c r="U246" s="4"/>
      <c r="V246" s="4"/>
      <c r="W246" s="4"/>
      <c r="X246" s="4"/>
      <c r="Y246" s="4"/>
    </row>
    <row r="247" spans="1:25" ht="33.75" customHeight="1">
      <c r="A247" s="4"/>
      <c r="B247" s="5"/>
      <c r="C247" s="7"/>
      <c r="D247" s="161"/>
      <c r="E247" s="4"/>
      <c r="F247" s="4"/>
      <c r="G247" s="4"/>
      <c r="H247" s="4"/>
      <c r="I247" s="4"/>
      <c r="J247" s="4"/>
      <c r="K247" s="4"/>
      <c r="L247" s="4"/>
      <c r="M247" s="4"/>
      <c r="N247" s="4"/>
      <c r="O247" s="4"/>
      <c r="P247" s="4"/>
      <c r="Q247" s="4"/>
      <c r="R247" s="4"/>
      <c r="S247" s="4"/>
      <c r="T247" s="4"/>
      <c r="U247" s="4"/>
      <c r="V247" s="4"/>
      <c r="W247" s="4"/>
      <c r="X247" s="4"/>
      <c r="Y247" s="4"/>
    </row>
    <row r="248" spans="1:25" ht="33.75" customHeight="1">
      <c r="A248" s="4"/>
      <c r="B248" s="5"/>
      <c r="C248" s="7"/>
      <c r="D248" s="161"/>
      <c r="E248" s="4"/>
      <c r="F248" s="4"/>
      <c r="G248" s="4"/>
      <c r="H248" s="4"/>
      <c r="I248" s="4"/>
      <c r="J248" s="4"/>
      <c r="K248" s="4"/>
      <c r="L248" s="4"/>
      <c r="M248" s="4"/>
      <c r="N248" s="4"/>
      <c r="O248" s="4"/>
      <c r="P248" s="4"/>
      <c r="Q248" s="4"/>
      <c r="R248" s="4"/>
      <c r="S248" s="4"/>
      <c r="T248" s="4"/>
      <c r="U248" s="4"/>
      <c r="V248" s="4"/>
      <c r="W248" s="4"/>
      <c r="X248" s="4"/>
      <c r="Y248" s="4"/>
    </row>
    <row r="249" spans="1:25" ht="33.75" customHeight="1">
      <c r="A249" s="4"/>
      <c r="B249" s="5"/>
      <c r="C249" s="7"/>
      <c r="D249" s="161"/>
      <c r="E249" s="4"/>
      <c r="F249" s="4"/>
      <c r="G249" s="4"/>
      <c r="H249" s="4"/>
      <c r="I249" s="4"/>
      <c r="J249" s="4"/>
      <c r="K249" s="4"/>
      <c r="L249" s="4"/>
      <c r="M249" s="4"/>
      <c r="N249" s="4"/>
      <c r="O249" s="4"/>
      <c r="P249" s="4"/>
      <c r="Q249" s="4"/>
      <c r="R249" s="4"/>
      <c r="S249" s="4"/>
      <c r="T249" s="4"/>
      <c r="U249" s="4"/>
      <c r="V249" s="4"/>
      <c r="W249" s="4"/>
      <c r="X249" s="4"/>
      <c r="Y249" s="4"/>
    </row>
    <row r="250" spans="1:25" ht="33.75" customHeight="1">
      <c r="A250" s="4"/>
      <c r="B250" s="5"/>
      <c r="C250" s="7"/>
      <c r="D250" s="161"/>
      <c r="E250" s="4"/>
      <c r="F250" s="4"/>
      <c r="G250" s="4"/>
      <c r="H250" s="4"/>
      <c r="I250" s="4"/>
      <c r="J250" s="4"/>
      <c r="K250" s="4"/>
      <c r="L250" s="4"/>
      <c r="M250" s="4"/>
      <c r="N250" s="4"/>
      <c r="O250" s="4"/>
      <c r="P250" s="4"/>
      <c r="Q250" s="4"/>
      <c r="R250" s="4"/>
      <c r="S250" s="4"/>
      <c r="T250" s="4"/>
      <c r="U250" s="4"/>
      <c r="V250" s="4"/>
      <c r="W250" s="4"/>
      <c r="X250" s="4"/>
      <c r="Y250" s="4"/>
    </row>
    <row r="251" spans="1:25" ht="33.75" customHeight="1">
      <c r="A251" s="4"/>
      <c r="B251" s="5"/>
      <c r="C251" s="7"/>
      <c r="D251" s="161"/>
      <c r="E251" s="4"/>
      <c r="F251" s="4"/>
      <c r="G251" s="4"/>
      <c r="H251" s="4"/>
      <c r="I251" s="4"/>
      <c r="J251" s="4"/>
      <c r="K251" s="4"/>
      <c r="L251" s="4"/>
      <c r="M251" s="4"/>
      <c r="N251" s="4"/>
      <c r="O251" s="4"/>
      <c r="P251" s="4"/>
      <c r="Q251" s="4"/>
      <c r="R251" s="4"/>
      <c r="S251" s="4"/>
      <c r="T251" s="4"/>
      <c r="U251" s="4"/>
      <c r="V251" s="4"/>
      <c r="W251" s="4"/>
      <c r="X251" s="4"/>
      <c r="Y251" s="4"/>
    </row>
    <row r="252" spans="1:25" ht="33.75" customHeight="1">
      <c r="A252" s="4"/>
      <c r="B252" s="5"/>
      <c r="C252" s="7"/>
      <c r="D252" s="161"/>
      <c r="E252" s="4"/>
      <c r="F252" s="4"/>
      <c r="G252" s="4"/>
      <c r="H252" s="4"/>
      <c r="I252" s="4"/>
      <c r="J252" s="4"/>
      <c r="K252" s="4"/>
      <c r="L252" s="4"/>
      <c r="M252" s="4"/>
      <c r="N252" s="4"/>
      <c r="O252" s="4"/>
      <c r="P252" s="4"/>
      <c r="Q252" s="4"/>
      <c r="R252" s="4"/>
      <c r="S252" s="4"/>
      <c r="T252" s="4"/>
      <c r="U252" s="4"/>
      <c r="V252" s="4"/>
      <c r="W252" s="4"/>
      <c r="X252" s="4"/>
      <c r="Y252" s="4"/>
    </row>
    <row r="253" spans="1:25" ht="33.75" customHeight="1">
      <c r="A253" s="4"/>
      <c r="B253" s="5"/>
      <c r="C253" s="7"/>
      <c r="D253" s="161"/>
      <c r="E253" s="4"/>
      <c r="F253" s="4"/>
      <c r="G253" s="4"/>
      <c r="H253" s="4"/>
      <c r="I253" s="4"/>
      <c r="J253" s="4"/>
      <c r="K253" s="4"/>
      <c r="L253" s="4"/>
      <c r="M253" s="4"/>
      <c r="N253" s="4"/>
      <c r="O253" s="4"/>
      <c r="P253" s="4"/>
      <c r="Q253" s="4"/>
      <c r="R253" s="4"/>
      <c r="S253" s="4"/>
      <c r="T253" s="4"/>
      <c r="U253" s="4"/>
      <c r="V253" s="4"/>
      <c r="W253" s="4"/>
      <c r="X253" s="4"/>
      <c r="Y253" s="4"/>
    </row>
    <row r="254" spans="1:25" ht="33.75" customHeight="1">
      <c r="A254" s="4"/>
      <c r="B254" s="5"/>
      <c r="C254" s="7"/>
      <c r="D254" s="161"/>
      <c r="E254" s="4"/>
      <c r="F254" s="4"/>
      <c r="G254" s="4"/>
      <c r="H254" s="4"/>
      <c r="I254" s="4"/>
      <c r="J254" s="4"/>
      <c r="K254" s="4"/>
      <c r="L254" s="4"/>
      <c r="M254" s="4"/>
      <c r="N254" s="4"/>
      <c r="O254" s="4"/>
      <c r="P254" s="4"/>
      <c r="Q254" s="4"/>
      <c r="R254" s="4"/>
      <c r="S254" s="4"/>
      <c r="T254" s="4"/>
      <c r="U254" s="4"/>
      <c r="V254" s="4"/>
      <c r="W254" s="4"/>
      <c r="X254" s="4"/>
      <c r="Y254" s="4"/>
    </row>
    <row r="255" spans="1:25" ht="33.75" customHeight="1">
      <c r="A255" s="4"/>
      <c r="B255" s="5"/>
      <c r="C255" s="7"/>
      <c r="D255" s="161"/>
      <c r="E255" s="4"/>
      <c r="F255" s="4"/>
      <c r="G255" s="4"/>
      <c r="H255" s="4"/>
      <c r="I255" s="4"/>
      <c r="J255" s="4"/>
      <c r="K255" s="4"/>
      <c r="L255" s="4"/>
      <c r="M255" s="4"/>
      <c r="N255" s="4"/>
      <c r="O255" s="4"/>
      <c r="P255" s="4"/>
      <c r="Q255" s="4"/>
      <c r="R255" s="4"/>
      <c r="S255" s="4"/>
      <c r="T255" s="4"/>
      <c r="U255" s="4"/>
      <c r="V255" s="4"/>
      <c r="W255" s="4"/>
      <c r="X255" s="4"/>
      <c r="Y255" s="4"/>
    </row>
    <row r="256" spans="1:25" ht="33.75" customHeight="1">
      <c r="A256" s="4"/>
      <c r="B256" s="5"/>
      <c r="C256" s="7"/>
      <c r="D256" s="161"/>
      <c r="E256" s="4"/>
      <c r="F256" s="4"/>
      <c r="G256" s="4"/>
      <c r="H256" s="4"/>
      <c r="I256" s="4"/>
      <c r="J256" s="4"/>
      <c r="K256" s="4"/>
      <c r="L256" s="4"/>
      <c r="M256" s="4"/>
      <c r="N256" s="4"/>
      <c r="O256" s="4"/>
      <c r="P256" s="4"/>
      <c r="Q256" s="4"/>
      <c r="R256" s="4"/>
      <c r="S256" s="4"/>
      <c r="T256" s="4"/>
      <c r="U256" s="4"/>
      <c r="V256" s="4"/>
      <c r="W256" s="4"/>
      <c r="X256" s="4"/>
      <c r="Y256" s="4"/>
    </row>
    <row r="257" spans="1:25" ht="33.75" customHeight="1">
      <c r="A257" s="4"/>
      <c r="B257" s="5"/>
      <c r="C257" s="7"/>
      <c r="D257" s="161"/>
      <c r="E257" s="4"/>
      <c r="F257" s="4"/>
      <c r="G257" s="4"/>
      <c r="H257" s="4"/>
      <c r="I257" s="4"/>
      <c r="J257" s="4"/>
      <c r="K257" s="4"/>
      <c r="L257" s="4"/>
      <c r="M257" s="4"/>
      <c r="N257" s="4"/>
      <c r="O257" s="4"/>
      <c r="P257" s="4"/>
      <c r="Q257" s="4"/>
      <c r="R257" s="4"/>
      <c r="S257" s="4"/>
      <c r="T257" s="4"/>
      <c r="U257" s="4"/>
      <c r="V257" s="4"/>
      <c r="W257" s="4"/>
      <c r="X257" s="4"/>
      <c r="Y257" s="4"/>
    </row>
    <row r="258" spans="1:25" ht="33.75" customHeight="1">
      <c r="A258" s="4"/>
      <c r="B258" s="5"/>
      <c r="C258" s="7"/>
      <c r="D258" s="161"/>
      <c r="E258" s="4"/>
      <c r="F258" s="4"/>
      <c r="G258" s="4"/>
      <c r="H258" s="4"/>
      <c r="I258" s="4"/>
      <c r="J258" s="4"/>
      <c r="K258" s="4"/>
      <c r="L258" s="4"/>
      <c r="M258" s="4"/>
      <c r="N258" s="4"/>
      <c r="O258" s="4"/>
      <c r="P258" s="4"/>
      <c r="Q258" s="4"/>
      <c r="R258" s="4"/>
      <c r="S258" s="4"/>
      <c r="T258" s="4"/>
      <c r="U258" s="4"/>
      <c r="V258" s="4"/>
      <c r="W258" s="4"/>
      <c r="X258" s="4"/>
      <c r="Y258" s="4"/>
    </row>
    <row r="259" spans="1:25" ht="33.75" customHeight="1">
      <c r="A259" s="4"/>
      <c r="B259" s="5"/>
      <c r="C259" s="7"/>
      <c r="D259" s="161"/>
      <c r="E259" s="4"/>
      <c r="F259" s="4"/>
      <c r="G259" s="4"/>
      <c r="H259" s="4"/>
      <c r="I259" s="4"/>
      <c r="J259" s="4"/>
      <c r="K259" s="4"/>
      <c r="L259" s="4"/>
      <c r="M259" s="4"/>
      <c r="N259" s="4"/>
      <c r="O259" s="4"/>
      <c r="P259" s="4"/>
      <c r="Q259" s="4"/>
      <c r="R259" s="4"/>
      <c r="S259" s="4"/>
      <c r="T259" s="4"/>
      <c r="U259" s="4"/>
      <c r="V259" s="4"/>
      <c r="W259" s="4"/>
      <c r="X259" s="4"/>
      <c r="Y259" s="4"/>
    </row>
    <row r="260" spans="1:25" ht="33.75" customHeight="1">
      <c r="A260" s="4"/>
      <c r="B260" s="5"/>
      <c r="C260" s="7"/>
      <c r="D260" s="161"/>
      <c r="E260" s="4"/>
      <c r="F260" s="4"/>
      <c r="G260" s="4"/>
      <c r="H260" s="4"/>
      <c r="I260" s="4"/>
      <c r="J260" s="4"/>
      <c r="K260" s="4"/>
      <c r="L260" s="4"/>
      <c r="M260" s="4"/>
      <c r="N260" s="4"/>
      <c r="O260" s="4"/>
      <c r="P260" s="4"/>
      <c r="Q260" s="4"/>
      <c r="R260" s="4"/>
      <c r="S260" s="4"/>
      <c r="T260" s="4"/>
      <c r="U260" s="4"/>
      <c r="V260" s="4"/>
      <c r="W260" s="4"/>
      <c r="X260" s="4"/>
      <c r="Y260" s="4"/>
    </row>
    <row r="261" spans="1:25" ht="33.75" customHeight="1">
      <c r="A261" s="4"/>
      <c r="B261" s="5"/>
      <c r="C261" s="7"/>
      <c r="D261" s="161"/>
      <c r="E261" s="4"/>
      <c r="F261" s="4"/>
      <c r="G261" s="4"/>
      <c r="H261" s="4"/>
      <c r="I261" s="4"/>
      <c r="J261" s="4"/>
      <c r="K261" s="4"/>
      <c r="L261" s="4"/>
      <c r="M261" s="4"/>
      <c r="N261" s="4"/>
      <c r="O261" s="4"/>
      <c r="P261" s="4"/>
      <c r="Q261" s="4"/>
      <c r="R261" s="4"/>
      <c r="S261" s="4"/>
      <c r="T261" s="4"/>
      <c r="U261" s="4"/>
      <c r="V261" s="4"/>
      <c r="W261" s="4"/>
      <c r="X261" s="4"/>
      <c r="Y261" s="4"/>
    </row>
    <row r="262" spans="1:25" ht="33.75" customHeight="1">
      <c r="A262" s="4"/>
      <c r="B262" s="5"/>
      <c r="C262" s="7"/>
      <c r="D262" s="161"/>
      <c r="E262" s="4"/>
      <c r="F262" s="4"/>
      <c r="G262" s="4"/>
      <c r="H262" s="4"/>
      <c r="I262" s="4"/>
      <c r="J262" s="4"/>
      <c r="K262" s="4"/>
      <c r="L262" s="4"/>
      <c r="M262" s="4"/>
      <c r="N262" s="4"/>
      <c r="O262" s="4"/>
      <c r="P262" s="4"/>
      <c r="Q262" s="4"/>
      <c r="R262" s="4"/>
      <c r="S262" s="4"/>
      <c r="T262" s="4"/>
      <c r="U262" s="4"/>
      <c r="V262" s="4"/>
      <c r="W262" s="4"/>
      <c r="X262" s="4"/>
      <c r="Y262" s="4"/>
    </row>
    <row r="263" spans="1:25" ht="33.75" customHeight="1">
      <c r="A263" s="4"/>
      <c r="B263" s="5"/>
      <c r="C263" s="7"/>
      <c r="D263" s="161"/>
      <c r="E263" s="4"/>
      <c r="F263" s="4"/>
      <c r="G263" s="4"/>
      <c r="H263" s="4"/>
      <c r="I263" s="4"/>
      <c r="J263" s="4"/>
      <c r="K263" s="4"/>
      <c r="L263" s="4"/>
      <c r="M263" s="4"/>
      <c r="N263" s="4"/>
      <c r="O263" s="4"/>
      <c r="P263" s="4"/>
      <c r="Q263" s="4"/>
      <c r="R263" s="4"/>
      <c r="S263" s="4"/>
      <c r="T263" s="4"/>
      <c r="U263" s="4"/>
      <c r="V263" s="4"/>
      <c r="W263" s="4"/>
      <c r="X263" s="4"/>
      <c r="Y263" s="4"/>
    </row>
    <row r="264" spans="1:25" ht="33.75" customHeight="1">
      <c r="A264" s="4"/>
      <c r="B264" s="5"/>
      <c r="C264" s="7"/>
      <c r="D264" s="161"/>
      <c r="E264" s="4"/>
      <c r="F264" s="4"/>
      <c r="G264" s="4"/>
      <c r="H264" s="4"/>
      <c r="I264" s="4"/>
      <c r="J264" s="4"/>
      <c r="K264" s="4"/>
      <c r="L264" s="4"/>
      <c r="M264" s="4"/>
      <c r="N264" s="4"/>
      <c r="O264" s="4"/>
      <c r="P264" s="4"/>
      <c r="Q264" s="4"/>
      <c r="R264" s="4"/>
      <c r="S264" s="4"/>
      <c r="T264" s="4"/>
      <c r="U264" s="4"/>
      <c r="V264" s="4"/>
      <c r="W264" s="4"/>
      <c r="X264" s="4"/>
      <c r="Y264" s="4"/>
    </row>
    <row r="265" spans="1:25" ht="33.75" customHeight="1">
      <c r="A265" s="4"/>
      <c r="B265" s="5"/>
      <c r="C265" s="7"/>
      <c r="D265" s="161"/>
      <c r="E265" s="4"/>
      <c r="F265" s="4"/>
      <c r="G265" s="4"/>
      <c r="H265" s="4"/>
      <c r="I265" s="4"/>
      <c r="J265" s="4"/>
      <c r="K265" s="4"/>
      <c r="L265" s="4"/>
      <c r="M265" s="4"/>
      <c r="N265" s="4"/>
      <c r="O265" s="4"/>
      <c r="P265" s="4"/>
      <c r="Q265" s="4"/>
      <c r="R265" s="4"/>
      <c r="S265" s="4"/>
      <c r="T265" s="4"/>
      <c r="U265" s="4"/>
      <c r="V265" s="4"/>
      <c r="W265" s="4"/>
      <c r="X265" s="4"/>
      <c r="Y265" s="4"/>
    </row>
    <row r="266" spans="1:25" ht="33.75" customHeight="1">
      <c r="A266" s="4"/>
      <c r="B266" s="5"/>
      <c r="C266" s="7"/>
      <c r="D266" s="161"/>
      <c r="E266" s="4"/>
      <c r="F266" s="4"/>
      <c r="G266" s="4"/>
      <c r="H266" s="4"/>
      <c r="I266" s="4"/>
      <c r="J266" s="4"/>
      <c r="K266" s="4"/>
      <c r="L266" s="4"/>
      <c r="M266" s="4"/>
      <c r="N266" s="4"/>
      <c r="O266" s="4"/>
      <c r="P266" s="4"/>
      <c r="Q266" s="4"/>
      <c r="R266" s="4"/>
      <c r="S266" s="4"/>
      <c r="T266" s="4"/>
      <c r="U266" s="4"/>
      <c r="V266" s="4"/>
      <c r="W266" s="4"/>
      <c r="X266" s="4"/>
      <c r="Y266" s="4"/>
    </row>
    <row r="267" spans="1:25" ht="33.75" customHeight="1">
      <c r="A267" s="4"/>
      <c r="B267" s="5"/>
      <c r="C267" s="7"/>
      <c r="D267" s="161"/>
      <c r="E267" s="4"/>
      <c r="F267" s="4"/>
      <c r="G267" s="4"/>
      <c r="H267" s="4"/>
      <c r="I267" s="4"/>
      <c r="J267" s="4"/>
      <c r="K267" s="4"/>
      <c r="L267" s="4"/>
      <c r="M267" s="4"/>
      <c r="N267" s="4"/>
      <c r="O267" s="4"/>
      <c r="P267" s="4"/>
      <c r="Q267" s="4"/>
      <c r="R267" s="4"/>
      <c r="S267" s="4"/>
      <c r="T267" s="4"/>
      <c r="U267" s="4"/>
      <c r="V267" s="4"/>
      <c r="W267" s="4"/>
      <c r="X267" s="4"/>
      <c r="Y267" s="4"/>
    </row>
    <row r="268" spans="1:25" ht="33.75" customHeight="1">
      <c r="A268" s="4"/>
      <c r="B268" s="5"/>
      <c r="C268" s="7"/>
      <c r="D268" s="161"/>
      <c r="E268" s="4"/>
      <c r="F268" s="4"/>
      <c r="G268" s="4"/>
      <c r="H268" s="4"/>
      <c r="I268" s="4"/>
      <c r="J268" s="4"/>
      <c r="K268" s="4"/>
      <c r="L268" s="4"/>
      <c r="M268" s="4"/>
      <c r="N268" s="4"/>
      <c r="O268" s="4"/>
      <c r="P268" s="4"/>
      <c r="Q268" s="4"/>
      <c r="R268" s="4"/>
      <c r="S268" s="4"/>
      <c r="T268" s="4"/>
      <c r="U268" s="4"/>
      <c r="V268" s="4"/>
      <c r="W268" s="4"/>
      <c r="X268" s="4"/>
      <c r="Y268" s="4"/>
    </row>
    <row r="269" spans="1:25" ht="33.75" customHeight="1">
      <c r="A269" s="4"/>
      <c r="B269" s="5"/>
      <c r="C269" s="7"/>
      <c r="D269" s="161"/>
      <c r="E269" s="4"/>
      <c r="F269" s="4"/>
      <c r="G269" s="4"/>
      <c r="H269" s="4"/>
      <c r="I269" s="4"/>
      <c r="J269" s="4"/>
      <c r="K269" s="4"/>
      <c r="L269" s="4"/>
      <c r="M269" s="4"/>
      <c r="N269" s="4"/>
      <c r="O269" s="4"/>
      <c r="P269" s="4"/>
      <c r="Q269" s="4"/>
      <c r="R269" s="4"/>
      <c r="S269" s="4"/>
      <c r="T269" s="4"/>
      <c r="U269" s="4"/>
      <c r="V269" s="4"/>
      <c r="W269" s="4"/>
      <c r="X269" s="4"/>
      <c r="Y269" s="4"/>
    </row>
    <row r="270" spans="1:25" ht="33.75" customHeight="1">
      <c r="A270" s="4"/>
      <c r="B270" s="5"/>
      <c r="C270" s="7"/>
      <c r="D270" s="161"/>
      <c r="E270" s="4"/>
      <c r="F270" s="4"/>
      <c r="G270" s="4"/>
      <c r="H270" s="4"/>
      <c r="I270" s="4"/>
      <c r="J270" s="4"/>
      <c r="K270" s="4"/>
      <c r="L270" s="4"/>
      <c r="M270" s="4"/>
      <c r="N270" s="4"/>
      <c r="O270" s="4"/>
      <c r="P270" s="4"/>
      <c r="Q270" s="4"/>
      <c r="R270" s="4"/>
      <c r="S270" s="4"/>
      <c r="T270" s="4"/>
      <c r="U270" s="4"/>
      <c r="V270" s="4"/>
      <c r="W270" s="4"/>
      <c r="X270" s="4"/>
      <c r="Y270" s="4"/>
    </row>
    <row r="271" spans="1:25" ht="33.75" customHeight="1">
      <c r="A271" s="4"/>
      <c r="B271" s="5"/>
      <c r="C271" s="7"/>
      <c r="D271" s="161"/>
      <c r="E271" s="4"/>
      <c r="F271" s="4"/>
      <c r="G271" s="4"/>
      <c r="H271" s="4"/>
      <c r="I271" s="4"/>
      <c r="J271" s="4"/>
      <c r="K271" s="4"/>
      <c r="L271" s="4"/>
      <c r="M271" s="4"/>
      <c r="N271" s="4"/>
      <c r="O271" s="4"/>
      <c r="P271" s="4"/>
      <c r="Q271" s="4"/>
      <c r="R271" s="4"/>
      <c r="S271" s="4"/>
      <c r="T271" s="4"/>
      <c r="U271" s="4"/>
      <c r="V271" s="4"/>
      <c r="W271" s="4"/>
      <c r="X271" s="4"/>
      <c r="Y271" s="4"/>
    </row>
    <row r="272" spans="1:25" ht="33.75" customHeight="1">
      <c r="A272" s="4"/>
      <c r="B272" s="5"/>
      <c r="C272" s="7"/>
      <c r="D272" s="161"/>
      <c r="E272" s="4"/>
      <c r="F272" s="4"/>
      <c r="G272" s="4"/>
      <c r="H272" s="4"/>
      <c r="I272" s="4"/>
      <c r="J272" s="4"/>
      <c r="K272" s="4"/>
      <c r="L272" s="4"/>
      <c r="M272" s="4"/>
      <c r="N272" s="4"/>
      <c r="O272" s="4"/>
      <c r="P272" s="4"/>
      <c r="Q272" s="4"/>
      <c r="R272" s="4"/>
      <c r="S272" s="4"/>
      <c r="T272" s="4"/>
      <c r="U272" s="4"/>
      <c r="V272" s="4"/>
      <c r="W272" s="4"/>
      <c r="X272" s="4"/>
      <c r="Y272" s="4"/>
    </row>
    <row r="273" spans="1:25" ht="33.75" customHeight="1">
      <c r="A273" s="4"/>
      <c r="B273" s="5"/>
      <c r="C273" s="7"/>
      <c r="D273" s="161"/>
      <c r="E273" s="4"/>
      <c r="F273" s="4"/>
      <c r="G273" s="4"/>
      <c r="H273" s="4"/>
      <c r="I273" s="4"/>
      <c r="J273" s="4"/>
      <c r="K273" s="4"/>
      <c r="L273" s="4"/>
      <c r="M273" s="4"/>
      <c r="N273" s="4"/>
      <c r="O273" s="4"/>
      <c r="P273" s="4"/>
      <c r="Q273" s="4"/>
      <c r="R273" s="4"/>
      <c r="S273" s="4"/>
      <c r="T273" s="4"/>
      <c r="U273" s="4"/>
      <c r="V273" s="4"/>
      <c r="W273" s="4"/>
      <c r="X273" s="4"/>
      <c r="Y273" s="4"/>
    </row>
    <row r="274" spans="1:25" ht="33.75" customHeight="1">
      <c r="A274" s="4"/>
      <c r="B274" s="5"/>
      <c r="C274" s="7"/>
      <c r="D274" s="161"/>
      <c r="E274" s="4"/>
      <c r="F274" s="4"/>
      <c r="G274" s="4"/>
      <c r="H274" s="4"/>
      <c r="I274" s="4"/>
      <c r="J274" s="4"/>
      <c r="K274" s="4"/>
      <c r="L274" s="4"/>
      <c r="M274" s="4"/>
      <c r="N274" s="4"/>
      <c r="O274" s="4"/>
      <c r="P274" s="4"/>
      <c r="Q274" s="4"/>
      <c r="R274" s="4"/>
      <c r="S274" s="4"/>
      <c r="T274" s="4"/>
      <c r="U274" s="4"/>
      <c r="V274" s="4"/>
      <c r="W274" s="4"/>
      <c r="X274" s="4"/>
      <c r="Y274" s="4"/>
    </row>
    <row r="275" spans="1:25" ht="33.75" customHeight="1">
      <c r="A275" s="4"/>
      <c r="B275" s="5"/>
      <c r="C275" s="7"/>
      <c r="D275" s="161"/>
      <c r="E275" s="4"/>
      <c r="F275" s="4"/>
      <c r="G275" s="4"/>
      <c r="H275" s="4"/>
      <c r="I275" s="4"/>
      <c r="J275" s="4"/>
      <c r="K275" s="4"/>
      <c r="L275" s="4"/>
      <c r="M275" s="4"/>
      <c r="N275" s="4"/>
      <c r="O275" s="4"/>
      <c r="P275" s="4"/>
      <c r="Q275" s="4"/>
      <c r="R275" s="4"/>
      <c r="S275" s="4"/>
      <c r="T275" s="4"/>
      <c r="U275" s="4"/>
      <c r="V275" s="4"/>
      <c r="W275" s="4"/>
      <c r="X275" s="4"/>
      <c r="Y275" s="4"/>
    </row>
    <row r="276" spans="1:25" ht="33.75" customHeight="1">
      <c r="A276" s="4"/>
      <c r="B276" s="5"/>
      <c r="C276" s="7"/>
      <c r="D276" s="161"/>
      <c r="E276" s="4"/>
      <c r="F276" s="4"/>
      <c r="G276" s="4"/>
      <c r="H276" s="4"/>
      <c r="I276" s="4"/>
      <c r="J276" s="4"/>
      <c r="K276" s="4"/>
      <c r="L276" s="4"/>
      <c r="M276" s="4"/>
      <c r="N276" s="4"/>
      <c r="O276" s="4"/>
      <c r="P276" s="4"/>
      <c r="Q276" s="4"/>
      <c r="R276" s="4"/>
      <c r="S276" s="4"/>
      <c r="T276" s="4"/>
      <c r="U276" s="4"/>
      <c r="V276" s="4"/>
      <c r="W276" s="4"/>
      <c r="X276" s="4"/>
      <c r="Y276" s="4"/>
    </row>
    <row r="277" spans="1:25" ht="33.75" customHeight="1">
      <c r="A277" s="4"/>
      <c r="B277" s="5"/>
      <c r="C277" s="7"/>
      <c r="D277" s="161"/>
      <c r="E277" s="4"/>
      <c r="F277" s="4"/>
      <c r="G277" s="4"/>
      <c r="H277" s="4"/>
      <c r="I277" s="4"/>
      <c r="J277" s="4"/>
      <c r="K277" s="4"/>
      <c r="L277" s="4"/>
      <c r="M277" s="4"/>
      <c r="N277" s="4"/>
      <c r="O277" s="4"/>
      <c r="P277" s="4"/>
      <c r="Q277" s="4"/>
      <c r="R277" s="4"/>
      <c r="S277" s="4"/>
      <c r="T277" s="4"/>
      <c r="U277" s="4"/>
      <c r="V277" s="4"/>
      <c r="W277" s="4"/>
      <c r="X277" s="4"/>
      <c r="Y277" s="4"/>
    </row>
    <row r="278" spans="1:25" ht="33.75" customHeight="1">
      <c r="A278" s="4"/>
      <c r="B278" s="5"/>
      <c r="C278" s="7"/>
      <c r="D278" s="161"/>
      <c r="E278" s="4"/>
      <c r="F278" s="4"/>
      <c r="G278" s="4"/>
      <c r="H278" s="4"/>
      <c r="I278" s="4"/>
      <c r="J278" s="4"/>
      <c r="K278" s="4"/>
      <c r="L278" s="4"/>
      <c r="M278" s="4"/>
      <c r="N278" s="4"/>
      <c r="O278" s="4"/>
      <c r="P278" s="4"/>
      <c r="Q278" s="4"/>
      <c r="R278" s="4"/>
      <c r="S278" s="4"/>
      <c r="T278" s="4"/>
      <c r="U278" s="4"/>
      <c r="V278" s="4"/>
      <c r="W278" s="4"/>
      <c r="X278" s="4"/>
      <c r="Y278" s="4"/>
    </row>
    <row r="279" spans="1:25" ht="33.75" customHeight="1">
      <c r="A279" s="4"/>
      <c r="B279" s="5"/>
      <c r="C279" s="7"/>
      <c r="D279" s="161"/>
      <c r="E279" s="4"/>
      <c r="F279" s="4"/>
      <c r="G279" s="4"/>
      <c r="H279" s="4"/>
      <c r="I279" s="4"/>
      <c r="J279" s="4"/>
      <c r="K279" s="4"/>
      <c r="L279" s="4"/>
      <c r="M279" s="4"/>
      <c r="N279" s="4"/>
      <c r="O279" s="4"/>
      <c r="P279" s="4"/>
      <c r="Q279" s="4"/>
      <c r="R279" s="4"/>
      <c r="S279" s="4"/>
      <c r="T279" s="4"/>
      <c r="U279" s="4"/>
      <c r="V279" s="4"/>
      <c r="W279" s="4"/>
      <c r="X279" s="4"/>
      <c r="Y279" s="4"/>
    </row>
    <row r="280" spans="1:25" ht="33.75" customHeight="1">
      <c r="A280" s="4"/>
      <c r="B280" s="5"/>
      <c r="C280" s="7"/>
      <c r="D280" s="161"/>
      <c r="E280" s="4"/>
      <c r="F280" s="4"/>
      <c r="G280" s="4"/>
      <c r="H280" s="4"/>
      <c r="I280" s="4"/>
      <c r="J280" s="4"/>
      <c r="K280" s="4"/>
      <c r="L280" s="4"/>
      <c r="M280" s="4"/>
      <c r="N280" s="4"/>
      <c r="O280" s="4"/>
      <c r="P280" s="4"/>
      <c r="Q280" s="4"/>
      <c r="R280" s="4"/>
      <c r="S280" s="4"/>
      <c r="T280" s="4"/>
      <c r="U280" s="4"/>
      <c r="V280" s="4"/>
      <c r="W280" s="4"/>
      <c r="X280" s="4"/>
      <c r="Y280" s="4"/>
    </row>
    <row r="281" spans="1:25" ht="33.75" customHeight="1">
      <c r="A281" s="4"/>
      <c r="B281" s="5"/>
      <c r="C281" s="7"/>
      <c r="D281" s="161"/>
      <c r="E281" s="4"/>
      <c r="F281" s="4"/>
      <c r="G281" s="4"/>
      <c r="H281" s="4"/>
      <c r="I281" s="4"/>
      <c r="J281" s="4"/>
      <c r="K281" s="4"/>
      <c r="L281" s="4"/>
      <c r="M281" s="4"/>
      <c r="N281" s="4"/>
      <c r="O281" s="4"/>
      <c r="P281" s="4"/>
      <c r="Q281" s="4"/>
      <c r="R281" s="4"/>
      <c r="S281" s="4"/>
      <c r="T281" s="4"/>
      <c r="U281" s="4"/>
      <c r="V281" s="4"/>
      <c r="W281" s="4"/>
      <c r="X281" s="4"/>
      <c r="Y281" s="4"/>
    </row>
    <row r="282" spans="1:25" ht="33.75" customHeight="1">
      <c r="A282" s="4"/>
      <c r="B282" s="5"/>
      <c r="C282" s="7"/>
      <c r="D282" s="161"/>
      <c r="E282" s="4"/>
      <c r="F282" s="4"/>
      <c r="G282" s="4"/>
      <c r="H282" s="4"/>
      <c r="I282" s="4"/>
      <c r="J282" s="4"/>
      <c r="K282" s="4"/>
      <c r="L282" s="4"/>
      <c r="M282" s="4"/>
      <c r="N282" s="4"/>
      <c r="O282" s="4"/>
      <c r="P282" s="4"/>
      <c r="Q282" s="4"/>
      <c r="R282" s="4"/>
      <c r="S282" s="4"/>
      <c r="T282" s="4"/>
      <c r="U282" s="4"/>
      <c r="V282" s="4"/>
      <c r="W282" s="4"/>
      <c r="X282" s="4"/>
      <c r="Y282" s="4"/>
    </row>
    <row r="283" spans="1:25" ht="33.75" customHeight="1">
      <c r="A283" s="4"/>
      <c r="B283" s="5"/>
      <c r="C283" s="7"/>
      <c r="D283" s="161"/>
      <c r="E283" s="4"/>
      <c r="F283" s="4"/>
      <c r="G283" s="4"/>
      <c r="H283" s="4"/>
      <c r="I283" s="4"/>
      <c r="J283" s="4"/>
      <c r="K283" s="4"/>
      <c r="L283" s="4"/>
      <c r="M283" s="4"/>
      <c r="N283" s="4"/>
      <c r="O283" s="4"/>
      <c r="P283" s="4"/>
      <c r="Q283" s="4"/>
      <c r="R283" s="4"/>
      <c r="S283" s="4"/>
      <c r="T283" s="4"/>
      <c r="U283" s="4"/>
      <c r="V283" s="4"/>
      <c r="W283" s="4"/>
      <c r="X283" s="4"/>
      <c r="Y283" s="4"/>
    </row>
    <row r="284" spans="1:25" ht="33.75" customHeight="1">
      <c r="A284" s="4"/>
      <c r="B284" s="5"/>
      <c r="C284" s="7"/>
      <c r="D284" s="161"/>
      <c r="E284" s="4"/>
      <c r="F284" s="4"/>
      <c r="G284" s="4"/>
      <c r="H284" s="4"/>
      <c r="I284" s="4"/>
      <c r="J284" s="4"/>
      <c r="K284" s="4"/>
      <c r="L284" s="4"/>
      <c r="M284" s="4"/>
      <c r="N284" s="4"/>
      <c r="O284" s="4"/>
      <c r="P284" s="4"/>
      <c r="Q284" s="4"/>
      <c r="R284" s="4"/>
      <c r="S284" s="4"/>
      <c r="T284" s="4"/>
      <c r="U284" s="4"/>
      <c r="V284" s="4"/>
      <c r="W284" s="4"/>
      <c r="X284" s="4"/>
      <c r="Y284" s="4"/>
    </row>
    <row r="285" spans="1:25" ht="33.75" customHeight="1">
      <c r="A285" s="4"/>
      <c r="B285" s="5"/>
      <c r="C285" s="7"/>
      <c r="D285" s="161"/>
      <c r="E285" s="4"/>
      <c r="F285" s="4"/>
      <c r="G285" s="4"/>
      <c r="H285" s="4"/>
      <c r="I285" s="4"/>
      <c r="J285" s="4"/>
      <c r="K285" s="4"/>
      <c r="L285" s="4"/>
      <c r="M285" s="4"/>
      <c r="N285" s="4"/>
      <c r="O285" s="4"/>
      <c r="P285" s="4"/>
      <c r="Q285" s="4"/>
      <c r="R285" s="4"/>
      <c r="S285" s="4"/>
      <c r="T285" s="4"/>
      <c r="U285" s="4"/>
      <c r="V285" s="4"/>
      <c r="W285" s="4"/>
      <c r="X285" s="4"/>
      <c r="Y285" s="4"/>
    </row>
    <row r="286" spans="1:25" ht="33.75" customHeight="1">
      <c r="A286" s="4"/>
      <c r="B286" s="5"/>
      <c r="C286" s="7"/>
      <c r="D286" s="161"/>
      <c r="E286" s="4"/>
      <c r="F286" s="4"/>
      <c r="G286" s="4"/>
      <c r="H286" s="4"/>
      <c r="I286" s="4"/>
      <c r="J286" s="4"/>
      <c r="K286" s="4"/>
      <c r="L286" s="4"/>
      <c r="M286" s="4"/>
      <c r="N286" s="4"/>
      <c r="O286" s="4"/>
      <c r="P286" s="4"/>
      <c r="Q286" s="4"/>
      <c r="R286" s="4"/>
      <c r="S286" s="4"/>
      <c r="T286" s="4"/>
      <c r="U286" s="4"/>
      <c r="V286" s="4"/>
      <c r="W286" s="4"/>
      <c r="X286" s="4"/>
      <c r="Y286" s="4"/>
    </row>
    <row r="287" spans="1:25" ht="33.75" customHeight="1">
      <c r="A287" s="4"/>
      <c r="B287" s="5"/>
      <c r="C287" s="7"/>
      <c r="D287" s="161"/>
      <c r="E287" s="4"/>
      <c r="F287" s="4"/>
      <c r="G287" s="4"/>
      <c r="H287" s="4"/>
      <c r="I287" s="4"/>
      <c r="J287" s="4"/>
      <c r="K287" s="4"/>
      <c r="L287" s="4"/>
      <c r="M287" s="4"/>
      <c r="N287" s="4"/>
      <c r="O287" s="4"/>
      <c r="P287" s="4"/>
      <c r="Q287" s="4"/>
      <c r="R287" s="4"/>
      <c r="S287" s="4"/>
      <c r="T287" s="4"/>
      <c r="U287" s="4"/>
      <c r="V287" s="4"/>
      <c r="W287" s="4"/>
      <c r="X287" s="4"/>
      <c r="Y287" s="4"/>
    </row>
    <row r="288" spans="1:25" ht="33.75" customHeight="1">
      <c r="A288" s="4"/>
      <c r="B288" s="5"/>
      <c r="C288" s="7"/>
      <c r="D288" s="161"/>
      <c r="E288" s="4"/>
      <c r="F288" s="4"/>
      <c r="G288" s="4"/>
      <c r="H288" s="4"/>
      <c r="I288" s="4"/>
      <c r="J288" s="4"/>
      <c r="K288" s="4"/>
      <c r="L288" s="4"/>
      <c r="M288" s="4"/>
      <c r="N288" s="4"/>
      <c r="O288" s="4"/>
      <c r="P288" s="4"/>
      <c r="Q288" s="4"/>
      <c r="R288" s="4"/>
      <c r="S288" s="4"/>
      <c r="T288" s="4"/>
      <c r="U288" s="4"/>
      <c r="V288" s="4"/>
      <c r="W288" s="4"/>
      <c r="X288" s="4"/>
      <c r="Y288" s="4"/>
    </row>
    <row r="289" spans="1:25" ht="33.75" customHeight="1">
      <c r="A289" s="4"/>
      <c r="B289" s="5"/>
      <c r="C289" s="7"/>
      <c r="D289" s="161"/>
      <c r="E289" s="4"/>
      <c r="F289" s="4"/>
      <c r="G289" s="4"/>
      <c r="H289" s="4"/>
      <c r="I289" s="4"/>
      <c r="J289" s="4"/>
      <c r="K289" s="4"/>
      <c r="L289" s="4"/>
      <c r="M289" s="4"/>
      <c r="N289" s="4"/>
      <c r="O289" s="4"/>
      <c r="P289" s="4"/>
      <c r="Q289" s="4"/>
      <c r="R289" s="4"/>
      <c r="S289" s="4"/>
      <c r="T289" s="4"/>
      <c r="U289" s="4"/>
      <c r="V289" s="4"/>
      <c r="W289" s="4"/>
      <c r="X289" s="4"/>
      <c r="Y289" s="4"/>
    </row>
    <row r="290" spans="1:25" ht="33.75" customHeight="1">
      <c r="A290" s="4"/>
      <c r="B290" s="5"/>
      <c r="C290" s="7"/>
      <c r="D290" s="161"/>
      <c r="E290" s="4"/>
      <c r="F290" s="4"/>
      <c r="G290" s="4"/>
      <c r="H290" s="4"/>
      <c r="I290" s="4"/>
      <c r="J290" s="4"/>
      <c r="K290" s="4"/>
      <c r="L290" s="4"/>
      <c r="M290" s="4"/>
      <c r="N290" s="4"/>
      <c r="O290" s="4"/>
      <c r="P290" s="4"/>
      <c r="Q290" s="4"/>
      <c r="R290" s="4"/>
      <c r="S290" s="4"/>
      <c r="T290" s="4"/>
      <c r="U290" s="4"/>
      <c r="V290" s="4"/>
      <c r="W290" s="4"/>
      <c r="X290" s="4"/>
      <c r="Y290" s="4"/>
    </row>
    <row r="291" spans="1:25" ht="33.75" customHeight="1">
      <c r="A291" s="4"/>
      <c r="B291" s="5"/>
      <c r="C291" s="7"/>
      <c r="D291" s="161"/>
      <c r="E291" s="4"/>
      <c r="F291" s="4"/>
      <c r="G291" s="4"/>
      <c r="H291" s="4"/>
      <c r="I291" s="4"/>
      <c r="J291" s="4"/>
      <c r="K291" s="4"/>
      <c r="L291" s="4"/>
      <c r="M291" s="4"/>
      <c r="N291" s="4"/>
      <c r="O291" s="4"/>
      <c r="P291" s="4"/>
      <c r="Q291" s="4"/>
      <c r="R291" s="4"/>
      <c r="S291" s="4"/>
      <c r="T291" s="4"/>
      <c r="U291" s="4"/>
      <c r="V291" s="4"/>
      <c r="W291" s="4"/>
      <c r="X291" s="4"/>
      <c r="Y291" s="4"/>
    </row>
    <row r="292" spans="1:25" ht="33.75" customHeight="1">
      <c r="A292" s="4"/>
      <c r="B292" s="5"/>
      <c r="C292" s="7"/>
      <c r="D292" s="161"/>
      <c r="E292" s="4"/>
      <c r="F292" s="4"/>
      <c r="G292" s="4"/>
      <c r="H292" s="4"/>
      <c r="I292" s="4"/>
      <c r="J292" s="4"/>
      <c r="K292" s="4"/>
      <c r="L292" s="4"/>
      <c r="M292" s="4"/>
      <c r="N292" s="4"/>
      <c r="O292" s="4"/>
      <c r="P292" s="4"/>
      <c r="Q292" s="4"/>
      <c r="R292" s="4"/>
      <c r="S292" s="4"/>
      <c r="T292" s="4"/>
      <c r="U292" s="4"/>
      <c r="V292" s="4"/>
      <c r="W292" s="4"/>
      <c r="X292" s="4"/>
      <c r="Y292" s="4"/>
    </row>
    <row r="293" spans="1:25" ht="33.75" customHeight="1">
      <c r="A293" s="4"/>
      <c r="B293" s="5"/>
      <c r="C293" s="7"/>
      <c r="D293" s="161"/>
      <c r="E293" s="4"/>
      <c r="F293" s="4"/>
      <c r="G293" s="4"/>
      <c r="H293" s="4"/>
      <c r="I293" s="4"/>
      <c r="J293" s="4"/>
      <c r="K293" s="4"/>
      <c r="L293" s="4"/>
      <c r="M293" s="4"/>
      <c r="N293" s="4"/>
      <c r="O293" s="4"/>
      <c r="P293" s="4"/>
      <c r="Q293" s="4"/>
      <c r="R293" s="4"/>
      <c r="S293" s="4"/>
      <c r="T293" s="4"/>
      <c r="U293" s="4"/>
      <c r="V293" s="4"/>
      <c r="W293" s="4"/>
      <c r="X293" s="4"/>
      <c r="Y293" s="4"/>
    </row>
    <row r="294" spans="1:25" ht="33.75" customHeight="1">
      <c r="A294" s="4"/>
      <c r="B294" s="5"/>
      <c r="C294" s="7"/>
      <c r="D294" s="161"/>
      <c r="E294" s="4"/>
      <c r="F294" s="4"/>
      <c r="G294" s="4"/>
      <c r="H294" s="4"/>
      <c r="I294" s="4"/>
      <c r="J294" s="4"/>
      <c r="K294" s="4"/>
      <c r="L294" s="4"/>
      <c r="M294" s="4"/>
      <c r="N294" s="4"/>
      <c r="O294" s="4"/>
      <c r="P294" s="4"/>
      <c r="Q294" s="4"/>
      <c r="R294" s="4"/>
      <c r="S294" s="4"/>
      <c r="T294" s="4"/>
      <c r="U294" s="4"/>
      <c r="V294" s="4"/>
      <c r="W294" s="4"/>
      <c r="X294" s="4"/>
      <c r="Y294" s="4"/>
    </row>
    <row r="295" spans="1:25" ht="33.75" customHeight="1">
      <c r="A295" s="4"/>
      <c r="B295" s="5"/>
      <c r="C295" s="7"/>
      <c r="D295" s="161"/>
      <c r="E295" s="4"/>
      <c r="F295" s="4"/>
      <c r="G295" s="4"/>
      <c r="H295" s="4"/>
      <c r="I295" s="4"/>
      <c r="J295" s="4"/>
      <c r="K295" s="4"/>
      <c r="L295" s="4"/>
      <c r="M295" s="4"/>
      <c r="N295" s="4"/>
      <c r="O295" s="4"/>
      <c r="P295" s="4"/>
      <c r="Q295" s="4"/>
      <c r="R295" s="4"/>
      <c r="S295" s="4"/>
      <c r="T295" s="4"/>
      <c r="U295" s="4"/>
      <c r="V295" s="4"/>
      <c r="W295" s="4"/>
      <c r="X295" s="4"/>
      <c r="Y295" s="4"/>
    </row>
    <row r="296" spans="1:25" ht="33.75" customHeight="1">
      <c r="A296" s="4"/>
      <c r="B296" s="5"/>
      <c r="C296" s="7"/>
      <c r="D296" s="161"/>
      <c r="E296" s="4"/>
      <c r="F296" s="4"/>
      <c r="G296" s="4"/>
      <c r="H296" s="4"/>
      <c r="I296" s="4"/>
      <c r="J296" s="4"/>
      <c r="K296" s="4"/>
      <c r="L296" s="4"/>
      <c r="M296" s="4"/>
      <c r="N296" s="4"/>
      <c r="O296" s="4"/>
      <c r="P296" s="4"/>
      <c r="Q296" s="4"/>
      <c r="R296" s="4"/>
      <c r="S296" s="4"/>
      <c r="T296" s="4"/>
      <c r="U296" s="4"/>
      <c r="V296" s="4"/>
      <c r="W296" s="4"/>
      <c r="X296" s="4"/>
      <c r="Y296" s="4"/>
    </row>
    <row r="297" spans="1:25" ht="33.75" customHeight="1">
      <c r="A297" s="4"/>
      <c r="B297" s="5"/>
      <c r="C297" s="7"/>
      <c r="D297" s="161"/>
      <c r="E297" s="4"/>
      <c r="F297" s="4"/>
      <c r="G297" s="4"/>
      <c r="H297" s="4"/>
      <c r="I297" s="4"/>
      <c r="J297" s="4"/>
      <c r="K297" s="4"/>
      <c r="L297" s="4"/>
      <c r="M297" s="4"/>
      <c r="N297" s="4"/>
      <c r="O297" s="4"/>
      <c r="P297" s="4"/>
      <c r="Q297" s="4"/>
      <c r="R297" s="4"/>
      <c r="S297" s="4"/>
      <c r="T297" s="4"/>
      <c r="U297" s="4"/>
      <c r="V297" s="4"/>
      <c r="W297" s="4"/>
      <c r="X297" s="4"/>
      <c r="Y297" s="4"/>
    </row>
    <row r="298" spans="1:25" ht="33.75" customHeight="1">
      <c r="A298" s="4"/>
      <c r="B298" s="5"/>
      <c r="C298" s="7"/>
      <c r="D298" s="161"/>
      <c r="E298" s="4"/>
      <c r="F298" s="4"/>
      <c r="G298" s="4"/>
      <c r="H298" s="4"/>
      <c r="I298" s="4"/>
      <c r="J298" s="4"/>
      <c r="K298" s="4"/>
      <c r="L298" s="4"/>
      <c r="M298" s="4"/>
      <c r="N298" s="4"/>
      <c r="O298" s="4"/>
      <c r="P298" s="4"/>
      <c r="Q298" s="4"/>
      <c r="R298" s="4"/>
      <c r="S298" s="4"/>
      <c r="T298" s="4"/>
      <c r="U298" s="4"/>
      <c r="V298" s="4"/>
      <c r="W298" s="4"/>
      <c r="X298" s="4"/>
      <c r="Y298" s="4"/>
    </row>
    <row r="299" spans="1:25" ht="33.75" customHeight="1">
      <c r="A299" s="4"/>
      <c r="B299" s="5"/>
      <c r="C299" s="7"/>
      <c r="D299" s="161"/>
      <c r="E299" s="4"/>
      <c r="F299" s="4"/>
      <c r="G299" s="4"/>
      <c r="H299" s="4"/>
      <c r="I299" s="4"/>
      <c r="J299" s="4"/>
      <c r="K299" s="4"/>
      <c r="L299" s="4"/>
      <c r="M299" s="4"/>
      <c r="N299" s="4"/>
      <c r="O299" s="4"/>
      <c r="P299" s="4"/>
      <c r="Q299" s="4"/>
      <c r="R299" s="4"/>
      <c r="S299" s="4"/>
      <c r="T299" s="4"/>
      <c r="U299" s="4"/>
      <c r="V299" s="4"/>
      <c r="W299" s="4"/>
      <c r="X299" s="4"/>
      <c r="Y299" s="4"/>
    </row>
    <row r="300" spans="1:25" ht="33.75" customHeight="1">
      <c r="A300" s="4"/>
      <c r="B300" s="5"/>
      <c r="C300" s="7"/>
      <c r="D300" s="161"/>
      <c r="E300" s="4"/>
      <c r="F300" s="4"/>
      <c r="G300" s="4"/>
      <c r="H300" s="4"/>
      <c r="I300" s="4"/>
      <c r="J300" s="4"/>
      <c r="K300" s="4"/>
      <c r="L300" s="4"/>
      <c r="M300" s="4"/>
      <c r="N300" s="4"/>
      <c r="O300" s="4"/>
      <c r="P300" s="4"/>
      <c r="Q300" s="4"/>
      <c r="R300" s="4"/>
      <c r="S300" s="4"/>
      <c r="T300" s="4"/>
      <c r="U300" s="4"/>
      <c r="V300" s="4"/>
      <c r="W300" s="4"/>
      <c r="X300" s="4"/>
      <c r="Y300" s="4"/>
    </row>
    <row r="301" spans="1:25" ht="33.75" customHeight="1">
      <c r="A301" s="4"/>
      <c r="B301" s="5"/>
      <c r="C301" s="7"/>
      <c r="D301" s="161"/>
      <c r="E301" s="4"/>
      <c r="F301" s="4"/>
      <c r="G301" s="4"/>
      <c r="H301" s="4"/>
      <c r="I301" s="4"/>
      <c r="J301" s="4"/>
      <c r="K301" s="4"/>
      <c r="L301" s="4"/>
      <c r="M301" s="4"/>
      <c r="N301" s="4"/>
      <c r="O301" s="4"/>
      <c r="P301" s="4"/>
      <c r="Q301" s="4"/>
      <c r="R301" s="4"/>
      <c r="S301" s="4"/>
      <c r="T301" s="4"/>
      <c r="U301" s="4"/>
      <c r="V301" s="4"/>
      <c r="W301" s="4"/>
      <c r="X301" s="4"/>
      <c r="Y301" s="4"/>
    </row>
    <row r="302" spans="1:25" ht="33.75" customHeight="1">
      <c r="A302" s="4"/>
      <c r="B302" s="5"/>
      <c r="C302" s="7"/>
      <c r="D302" s="161"/>
      <c r="E302" s="4"/>
      <c r="F302" s="4"/>
      <c r="G302" s="4"/>
      <c r="H302" s="4"/>
      <c r="I302" s="4"/>
      <c r="J302" s="4"/>
      <c r="K302" s="4"/>
      <c r="L302" s="4"/>
      <c r="M302" s="4"/>
      <c r="N302" s="4"/>
      <c r="O302" s="4"/>
      <c r="P302" s="4"/>
      <c r="Q302" s="4"/>
      <c r="R302" s="4"/>
      <c r="S302" s="4"/>
      <c r="T302" s="4"/>
      <c r="U302" s="4"/>
      <c r="V302" s="4"/>
      <c r="W302" s="4"/>
      <c r="X302" s="4"/>
      <c r="Y302" s="4"/>
    </row>
    <row r="303" spans="1:25" ht="33.75" customHeight="1">
      <c r="A303" s="4"/>
      <c r="B303" s="5"/>
      <c r="C303" s="7"/>
      <c r="D303" s="161"/>
      <c r="E303" s="4"/>
      <c r="F303" s="4"/>
      <c r="G303" s="4"/>
      <c r="H303" s="4"/>
      <c r="I303" s="4"/>
      <c r="J303" s="4"/>
      <c r="K303" s="4"/>
      <c r="L303" s="4"/>
      <c r="M303" s="4"/>
      <c r="N303" s="4"/>
      <c r="O303" s="4"/>
      <c r="P303" s="4"/>
      <c r="Q303" s="4"/>
      <c r="R303" s="4"/>
      <c r="S303" s="4"/>
      <c r="T303" s="4"/>
      <c r="U303" s="4"/>
      <c r="V303" s="4"/>
      <c r="W303" s="4"/>
      <c r="X303" s="4"/>
      <c r="Y303" s="4"/>
    </row>
    <row r="304" spans="1:25" ht="33.75" customHeight="1">
      <c r="A304" s="4"/>
      <c r="B304" s="5"/>
      <c r="C304" s="7"/>
      <c r="D304" s="161"/>
      <c r="E304" s="4"/>
      <c r="F304" s="4"/>
      <c r="G304" s="4"/>
      <c r="H304" s="4"/>
      <c r="I304" s="4"/>
      <c r="J304" s="4"/>
      <c r="K304" s="4"/>
      <c r="L304" s="4"/>
      <c r="M304" s="4"/>
      <c r="N304" s="4"/>
      <c r="O304" s="4"/>
      <c r="P304" s="4"/>
      <c r="Q304" s="4"/>
      <c r="R304" s="4"/>
      <c r="S304" s="4"/>
      <c r="T304" s="4"/>
      <c r="U304" s="4"/>
      <c r="V304" s="4"/>
      <c r="W304" s="4"/>
      <c r="X304" s="4"/>
      <c r="Y304" s="4"/>
    </row>
    <row r="305" spans="1:25" ht="33.75" customHeight="1">
      <c r="A305" s="4"/>
      <c r="B305" s="5"/>
      <c r="C305" s="7"/>
      <c r="D305" s="161"/>
      <c r="E305" s="4"/>
      <c r="F305" s="4"/>
      <c r="G305" s="4"/>
      <c r="H305" s="4"/>
      <c r="I305" s="4"/>
      <c r="J305" s="4"/>
      <c r="K305" s="4"/>
      <c r="L305" s="4"/>
      <c r="M305" s="4"/>
      <c r="N305" s="4"/>
      <c r="O305" s="4"/>
      <c r="P305" s="4"/>
      <c r="Q305" s="4"/>
      <c r="R305" s="4"/>
      <c r="S305" s="4"/>
      <c r="T305" s="4"/>
      <c r="U305" s="4"/>
      <c r="V305" s="4"/>
      <c r="W305" s="4"/>
      <c r="X305" s="4"/>
      <c r="Y305" s="4"/>
    </row>
    <row r="306" spans="1:25" ht="33.75" customHeight="1">
      <c r="A306" s="4"/>
      <c r="B306" s="5"/>
      <c r="C306" s="7"/>
      <c r="D306" s="161"/>
      <c r="E306" s="4"/>
      <c r="F306" s="4"/>
      <c r="G306" s="4"/>
      <c r="H306" s="4"/>
      <c r="I306" s="4"/>
      <c r="J306" s="4"/>
      <c r="K306" s="4"/>
      <c r="L306" s="4"/>
      <c r="M306" s="4"/>
      <c r="N306" s="4"/>
      <c r="O306" s="4"/>
      <c r="P306" s="4"/>
      <c r="Q306" s="4"/>
      <c r="R306" s="4"/>
      <c r="S306" s="4"/>
      <c r="T306" s="4"/>
      <c r="U306" s="4"/>
      <c r="V306" s="4"/>
      <c r="W306" s="4"/>
      <c r="X306" s="4"/>
      <c r="Y306" s="4"/>
    </row>
    <row r="307" spans="1:25" ht="33.75" customHeight="1">
      <c r="A307" s="4"/>
      <c r="B307" s="5"/>
      <c r="C307" s="7"/>
      <c r="D307" s="161"/>
      <c r="E307" s="4"/>
      <c r="F307" s="4"/>
      <c r="G307" s="4"/>
      <c r="H307" s="4"/>
      <c r="I307" s="4"/>
      <c r="J307" s="4"/>
      <c r="K307" s="4"/>
      <c r="L307" s="4"/>
      <c r="M307" s="4"/>
      <c r="N307" s="4"/>
      <c r="O307" s="4"/>
      <c r="P307" s="4"/>
      <c r="Q307" s="4"/>
      <c r="R307" s="4"/>
      <c r="S307" s="4"/>
      <c r="T307" s="4"/>
      <c r="U307" s="4"/>
      <c r="V307" s="4"/>
      <c r="W307" s="4"/>
      <c r="X307" s="4"/>
      <c r="Y307" s="4"/>
    </row>
    <row r="308" spans="1:25" ht="33.75" customHeight="1">
      <c r="A308" s="4"/>
      <c r="B308" s="5"/>
      <c r="C308" s="7"/>
      <c r="D308" s="161"/>
      <c r="E308" s="4"/>
      <c r="F308" s="4"/>
      <c r="G308" s="4"/>
      <c r="H308" s="4"/>
      <c r="I308" s="4"/>
      <c r="J308" s="4"/>
      <c r="K308" s="4"/>
      <c r="L308" s="4"/>
      <c r="M308" s="4"/>
      <c r="N308" s="4"/>
      <c r="O308" s="4"/>
      <c r="P308" s="4"/>
      <c r="Q308" s="4"/>
      <c r="R308" s="4"/>
      <c r="S308" s="4"/>
      <c r="T308" s="4"/>
      <c r="U308" s="4"/>
      <c r="V308" s="4"/>
      <c r="W308" s="4"/>
      <c r="X308" s="4"/>
      <c r="Y308" s="4"/>
    </row>
    <row r="309" spans="1:25" ht="33.75" customHeight="1">
      <c r="A309" s="4"/>
      <c r="B309" s="5"/>
      <c r="C309" s="7"/>
      <c r="D309" s="161"/>
      <c r="E309" s="4"/>
      <c r="F309" s="4"/>
      <c r="G309" s="4"/>
      <c r="H309" s="4"/>
      <c r="I309" s="4"/>
      <c r="J309" s="4"/>
      <c r="K309" s="4"/>
      <c r="L309" s="4"/>
      <c r="M309" s="4"/>
      <c r="N309" s="4"/>
      <c r="O309" s="4"/>
      <c r="P309" s="4"/>
      <c r="Q309" s="4"/>
      <c r="R309" s="4"/>
      <c r="S309" s="4"/>
      <c r="T309" s="4"/>
      <c r="U309" s="4"/>
      <c r="V309" s="4"/>
      <c r="W309" s="4"/>
      <c r="X309" s="4"/>
      <c r="Y309" s="4"/>
    </row>
    <row r="310" spans="1:25" ht="33.75" customHeight="1">
      <c r="A310" s="4"/>
      <c r="B310" s="5"/>
      <c r="C310" s="7"/>
      <c r="D310" s="161"/>
      <c r="E310" s="4"/>
      <c r="F310" s="4"/>
      <c r="G310" s="4"/>
      <c r="H310" s="4"/>
      <c r="I310" s="4"/>
      <c r="J310" s="4"/>
      <c r="K310" s="4"/>
      <c r="L310" s="4"/>
      <c r="M310" s="4"/>
      <c r="N310" s="4"/>
      <c r="O310" s="4"/>
      <c r="P310" s="4"/>
      <c r="Q310" s="4"/>
      <c r="R310" s="4"/>
      <c r="S310" s="4"/>
      <c r="T310" s="4"/>
      <c r="U310" s="4"/>
      <c r="V310" s="4"/>
      <c r="W310" s="4"/>
      <c r="X310" s="4"/>
      <c r="Y310" s="4"/>
    </row>
    <row r="311" spans="1:25" ht="33.75" customHeight="1">
      <c r="A311" s="4"/>
      <c r="B311" s="5"/>
      <c r="C311" s="7"/>
      <c r="D311" s="161"/>
      <c r="E311" s="4"/>
      <c r="F311" s="4"/>
      <c r="G311" s="4"/>
      <c r="H311" s="4"/>
      <c r="I311" s="4"/>
      <c r="J311" s="4"/>
      <c r="K311" s="4"/>
      <c r="L311" s="4"/>
      <c r="M311" s="4"/>
      <c r="N311" s="4"/>
      <c r="O311" s="4"/>
      <c r="P311" s="4"/>
      <c r="Q311" s="4"/>
      <c r="R311" s="4"/>
      <c r="S311" s="4"/>
      <c r="T311" s="4"/>
      <c r="U311" s="4"/>
      <c r="V311" s="4"/>
      <c r="W311" s="4"/>
      <c r="X311" s="4"/>
      <c r="Y311" s="4"/>
    </row>
    <row r="312" spans="1:25" ht="33.75" customHeight="1">
      <c r="A312" s="4"/>
      <c r="B312" s="5"/>
      <c r="C312" s="7"/>
      <c r="D312" s="161"/>
      <c r="E312" s="4"/>
      <c r="F312" s="4"/>
      <c r="G312" s="4"/>
      <c r="H312" s="4"/>
      <c r="I312" s="4"/>
      <c r="J312" s="4"/>
      <c r="K312" s="4"/>
      <c r="L312" s="4"/>
      <c r="M312" s="4"/>
      <c r="N312" s="4"/>
      <c r="O312" s="4"/>
      <c r="P312" s="4"/>
      <c r="Q312" s="4"/>
      <c r="R312" s="4"/>
      <c r="S312" s="4"/>
      <c r="T312" s="4"/>
      <c r="U312" s="4"/>
      <c r="V312" s="4"/>
      <c r="W312" s="4"/>
      <c r="X312" s="4"/>
      <c r="Y312" s="4"/>
    </row>
    <row r="313" spans="1:25" ht="33.75" customHeight="1">
      <c r="A313" s="4"/>
      <c r="B313" s="5"/>
      <c r="C313" s="7"/>
      <c r="D313" s="161"/>
      <c r="E313" s="4"/>
      <c r="F313" s="4"/>
      <c r="G313" s="4"/>
      <c r="H313" s="4"/>
      <c r="I313" s="4"/>
      <c r="J313" s="4"/>
      <c r="K313" s="4"/>
      <c r="L313" s="4"/>
      <c r="M313" s="4"/>
      <c r="N313" s="4"/>
      <c r="O313" s="4"/>
      <c r="P313" s="4"/>
      <c r="Q313" s="4"/>
      <c r="R313" s="4"/>
      <c r="S313" s="4"/>
      <c r="T313" s="4"/>
      <c r="U313" s="4"/>
      <c r="V313" s="4"/>
      <c r="W313" s="4"/>
      <c r="X313" s="4"/>
      <c r="Y313" s="4"/>
    </row>
    <row r="314" spans="1:25" ht="33.75" customHeight="1">
      <c r="A314" s="4"/>
      <c r="B314" s="5"/>
      <c r="C314" s="7"/>
      <c r="D314" s="161"/>
      <c r="E314" s="4"/>
      <c r="F314" s="4"/>
      <c r="G314" s="4"/>
      <c r="H314" s="4"/>
      <c r="I314" s="4"/>
      <c r="J314" s="4"/>
      <c r="K314" s="4"/>
      <c r="L314" s="4"/>
      <c r="M314" s="4"/>
      <c r="N314" s="4"/>
      <c r="O314" s="4"/>
      <c r="P314" s="4"/>
      <c r="Q314" s="4"/>
      <c r="R314" s="4"/>
      <c r="S314" s="4"/>
      <c r="T314" s="4"/>
      <c r="U314" s="4"/>
      <c r="V314" s="4"/>
      <c r="W314" s="4"/>
      <c r="X314" s="4"/>
      <c r="Y314" s="4"/>
    </row>
    <row r="315" spans="1:25" ht="33.75" customHeight="1">
      <c r="A315" s="4"/>
      <c r="B315" s="5"/>
      <c r="C315" s="7"/>
      <c r="D315" s="161"/>
      <c r="E315" s="4"/>
      <c r="F315" s="4"/>
      <c r="G315" s="4"/>
      <c r="H315" s="4"/>
      <c r="I315" s="4"/>
      <c r="J315" s="4"/>
      <c r="K315" s="4"/>
      <c r="L315" s="4"/>
      <c r="M315" s="4"/>
      <c r="N315" s="4"/>
      <c r="O315" s="4"/>
      <c r="P315" s="4"/>
      <c r="Q315" s="4"/>
      <c r="R315" s="4"/>
      <c r="S315" s="4"/>
      <c r="T315" s="4"/>
      <c r="U315" s="4"/>
      <c r="V315" s="4"/>
      <c r="W315" s="4"/>
      <c r="X315" s="4"/>
      <c r="Y315" s="4"/>
    </row>
    <row r="316" spans="1:25" ht="33.75" customHeight="1">
      <c r="A316" s="4"/>
      <c r="B316" s="5"/>
      <c r="C316" s="7"/>
      <c r="D316" s="161"/>
      <c r="E316" s="4"/>
      <c r="F316" s="4"/>
      <c r="G316" s="4"/>
      <c r="H316" s="4"/>
      <c r="I316" s="4"/>
      <c r="J316" s="4"/>
      <c r="K316" s="4"/>
      <c r="L316" s="4"/>
      <c r="M316" s="4"/>
      <c r="N316" s="4"/>
      <c r="O316" s="4"/>
      <c r="P316" s="4"/>
      <c r="Q316" s="4"/>
      <c r="R316" s="4"/>
      <c r="S316" s="4"/>
      <c r="T316" s="4"/>
      <c r="U316" s="4"/>
      <c r="V316" s="4"/>
      <c r="W316" s="4"/>
      <c r="X316" s="4"/>
      <c r="Y316" s="4"/>
    </row>
    <row r="317" spans="1:25" ht="33.75" customHeight="1">
      <c r="A317" s="4"/>
      <c r="B317" s="5"/>
      <c r="C317" s="7"/>
      <c r="D317" s="161"/>
      <c r="E317" s="4"/>
      <c r="F317" s="4"/>
      <c r="G317" s="4"/>
      <c r="H317" s="4"/>
      <c r="I317" s="4"/>
      <c r="J317" s="4"/>
      <c r="K317" s="4"/>
      <c r="L317" s="4"/>
      <c r="M317" s="4"/>
      <c r="N317" s="4"/>
      <c r="O317" s="4"/>
      <c r="P317" s="4"/>
      <c r="Q317" s="4"/>
      <c r="R317" s="4"/>
      <c r="S317" s="4"/>
      <c r="T317" s="4"/>
      <c r="U317" s="4"/>
      <c r="V317" s="4"/>
      <c r="W317" s="4"/>
      <c r="X317" s="4"/>
      <c r="Y317" s="4"/>
    </row>
    <row r="318" spans="1:25" ht="33.75" customHeight="1">
      <c r="A318" s="4"/>
      <c r="B318" s="5"/>
      <c r="C318" s="7"/>
      <c r="D318" s="161"/>
      <c r="E318" s="4"/>
      <c r="F318" s="4"/>
      <c r="G318" s="4"/>
      <c r="H318" s="4"/>
      <c r="I318" s="4"/>
      <c r="J318" s="4"/>
      <c r="K318" s="4"/>
      <c r="L318" s="4"/>
      <c r="M318" s="4"/>
      <c r="N318" s="4"/>
      <c r="O318" s="4"/>
      <c r="P318" s="4"/>
      <c r="Q318" s="4"/>
      <c r="R318" s="4"/>
      <c r="S318" s="4"/>
      <c r="T318" s="4"/>
      <c r="U318" s="4"/>
      <c r="V318" s="4"/>
      <c r="W318" s="4"/>
      <c r="X318" s="4"/>
      <c r="Y318" s="4"/>
    </row>
    <row r="319" spans="1:25" ht="33.75" customHeight="1">
      <c r="A319" s="4"/>
      <c r="B319" s="5"/>
      <c r="C319" s="7"/>
      <c r="D319" s="161"/>
      <c r="E319" s="4"/>
      <c r="F319" s="4"/>
      <c r="G319" s="4"/>
      <c r="H319" s="4"/>
      <c r="I319" s="4"/>
      <c r="J319" s="4"/>
      <c r="K319" s="4"/>
      <c r="L319" s="4"/>
      <c r="M319" s="4"/>
      <c r="N319" s="4"/>
      <c r="O319" s="4"/>
      <c r="P319" s="4"/>
      <c r="Q319" s="4"/>
      <c r="R319" s="4"/>
      <c r="S319" s="4"/>
      <c r="T319" s="4"/>
      <c r="U319" s="4"/>
      <c r="V319" s="4"/>
      <c r="W319" s="4"/>
      <c r="X319" s="4"/>
      <c r="Y319" s="4"/>
    </row>
    <row r="320" spans="1:25" ht="33.75" customHeight="1">
      <c r="A320" s="4"/>
      <c r="B320" s="5"/>
      <c r="C320" s="7"/>
      <c r="D320" s="161"/>
      <c r="E320" s="4"/>
      <c r="F320" s="4"/>
      <c r="G320" s="4"/>
      <c r="H320" s="4"/>
      <c r="I320" s="4"/>
      <c r="J320" s="4"/>
      <c r="K320" s="4"/>
      <c r="L320" s="4"/>
      <c r="M320" s="4"/>
      <c r="N320" s="4"/>
      <c r="O320" s="4"/>
      <c r="P320" s="4"/>
      <c r="Q320" s="4"/>
      <c r="R320" s="4"/>
      <c r="S320" s="4"/>
      <c r="T320" s="4"/>
      <c r="U320" s="4"/>
      <c r="V320" s="4"/>
      <c r="W320" s="4"/>
      <c r="X320" s="4"/>
      <c r="Y320" s="4"/>
    </row>
    <row r="321" spans="1:25" ht="33.75" customHeight="1">
      <c r="A321" s="4"/>
      <c r="B321" s="5"/>
      <c r="C321" s="7"/>
      <c r="D321" s="161"/>
      <c r="E321" s="4"/>
      <c r="F321" s="4"/>
      <c r="G321" s="4"/>
      <c r="H321" s="4"/>
      <c r="I321" s="4"/>
      <c r="J321" s="4"/>
      <c r="K321" s="4"/>
      <c r="L321" s="4"/>
      <c r="M321" s="4"/>
      <c r="N321" s="4"/>
      <c r="O321" s="4"/>
      <c r="P321" s="4"/>
      <c r="Q321" s="4"/>
      <c r="R321" s="4"/>
      <c r="S321" s="4"/>
      <c r="T321" s="4"/>
      <c r="U321" s="4"/>
      <c r="V321" s="4"/>
      <c r="W321" s="4"/>
      <c r="X321" s="4"/>
      <c r="Y321" s="4"/>
    </row>
    <row r="322" spans="1:25" ht="33.75" customHeight="1">
      <c r="A322" s="4"/>
      <c r="B322" s="5"/>
      <c r="C322" s="7"/>
      <c r="D322" s="161"/>
      <c r="E322" s="4"/>
      <c r="F322" s="4"/>
      <c r="G322" s="4"/>
      <c r="H322" s="4"/>
      <c r="I322" s="4"/>
      <c r="J322" s="4"/>
      <c r="K322" s="4"/>
      <c r="L322" s="4"/>
      <c r="M322" s="4"/>
      <c r="N322" s="4"/>
      <c r="O322" s="4"/>
      <c r="P322" s="4"/>
      <c r="Q322" s="4"/>
      <c r="R322" s="4"/>
      <c r="S322" s="4"/>
      <c r="T322" s="4"/>
      <c r="U322" s="4"/>
      <c r="V322" s="4"/>
      <c r="W322" s="4"/>
      <c r="X322" s="4"/>
      <c r="Y322" s="4"/>
    </row>
    <row r="323" spans="1:25" ht="33.75" customHeight="1">
      <c r="A323" s="4"/>
      <c r="B323" s="5"/>
      <c r="C323" s="7"/>
      <c r="D323" s="161"/>
      <c r="E323" s="4"/>
      <c r="F323" s="4"/>
      <c r="G323" s="4"/>
      <c r="H323" s="4"/>
      <c r="I323" s="4"/>
      <c r="J323" s="4"/>
      <c r="K323" s="4"/>
      <c r="L323" s="4"/>
      <c r="M323" s="4"/>
      <c r="N323" s="4"/>
      <c r="O323" s="4"/>
      <c r="P323" s="4"/>
      <c r="Q323" s="4"/>
      <c r="R323" s="4"/>
      <c r="S323" s="4"/>
      <c r="T323" s="4"/>
      <c r="U323" s="4"/>
      <c r="V323" s="4"/>
      <c r="W323" s="4"/>
      <c r="X323" s="4"/>
      <c r="Y323" s="4"/>
    </row>
    <row r="324" spans="1:25" ht="33.75" customHeight="1">
      <c r="A324" s="4"/>
      <c r="B324" s="5"/>
      <c r="C324" s="7"/>
      <c r="D324" s="161"/>
      <c r="E324" s="4"/>
      <c r="F324" s="4"/>
      <c r="G324" s="4"/>
      <c r="H324" s="4"/>
      <c r="I324" s="4"/>
      <c r="J324" s="4"/>
      <c r="K324" s="4"/>
      <c r="L324" s="4"/>
      <c r="M324" s="4"/>
      <c r="N324" s="4"/>
      <c r="O324" s="4"/>
      <c r="P324" s="4"/>
      <c r="Q324" s="4"/>
      <c r="R324" s="4"/>
      <c r="S324" s="4"/>
      <c r="T324" s="4"/>
      <c r="U324" s="4"/>
      <c r="V324" s="4"/>
      <c r="W324" s="4"/>
      <c r="X324" s="4"/>
      <c r="Y324" s="4"/>
    </row>
    <row r="325" spans="1:25" ht="33.75" customHeight="1">
      <c r="A325" s="4"/>
      <c r="B325" s="5"/>
      <c r="C325" s="7"/>
      <c r="D325" s="161"/>
      <c r="E325" s="4"/>
      <c r="F325" s="4"/>
      <c r="G325" s="4"/>
      <c r="H325" s="4"/>
      <c r="I325" s="4"/>
      <c r="J325" s="4"/>
      <c r="K325" s="4"/>
      <c r="L325" s="4"/>
      <c r="M325" s="4"/>
      <c r="N325" s="4"/>
      <c r="O325" s="4"/>
      <c r="P325" s="4"/>
      <c r="Q325" s="4"/>
      <c r="R325" s="4"/>
      <c r="S325" s="4"/>
      <c r="T325" s="4"/>
      <c r="U325" s="4"/>
      <c r="V325" s="4"/>
      <c r="W325" s="4"/>
      <c r="X325" s="4"/>
      <c r="Y325" s="4"/>
    </row>
    <row r="326" spans="1:25" ht="33.75" customHeight="1">
      <c r="A326" s="4"/>
      <c r="B326" s="5"/>
      <c r="C326" s="7"/>
      <c r="D326" s="161"/>
      <c r="E326" s="4"/>
      <c r="F326" s="4"/>
      <c r="G326" s="4"/>
      <c r="H326" s="4"/>
      <c r="I326" s="4"/>
      <c r="J326" s="4"/>
      <c r="K326" s="4"/>
      <c r="L326" s="4"/>
      <c r="M326" s="4"/>
      <c r="N326" s="4"/>
      <c r="O326" s="4"/>
      <c r="P326" s="4"/>
      <c r="Q326" s="4"/>
      <c r="R326" s="4"/>
      <c r="S326" s="4"/>
      <c r="T326" s="4"/>
      <c r="U326" s="4"/>
      <c r="V326" s="4"/>
      <c r="W326" s="4"/>
      <c r="X326" s="4"/>
      <c r="Y326" s="4"/>
    </row>
    <row r="327" spans="1:25" ht="33.75" customHeight="1">
      <c r="A327" s="4"/>
      <c r="B327" s="5"/>
      <c r="C327" s="7"/>
      <c r="D327" s="161"/>
      <c r="E327" s="4"/>
      <c r="F327" s="4"/>
      <c r="G327" s="4"/>
      <c r="H327" s="4"/>
      <c r="I327" s="4"/>
      <c r="J327" s="4"/>
      <c r="K327" s="4"/>
      <c r="L327" s="4"/>
      <c r="M327" s="4"/>
      <c r="N327" s="4"/>
      <c r="O327" s="4"/>
      <c r="P327" s="4"/>
      <c r="Q327" s="4"/>
      <c r="R327" s="4"/>
      <c r="S327" s="4"/>
      <c r="T327" s="4"/>
      <c r="U327" s="4"/>
      <c r="V327" s="4"/>
      <c r="W327" s="4"/>
      <c r="X327" s="4"/>
      <c r="Y327" s="4"/>
    </row>
    <row r="328" spans="1:25" ht="33.75" customHeight="1">
      <c r="A328" s="4"/>
      <c r="B328" s="5"/>
      <c r="C328" s="7"/>
      <c r="D328" s="161"/>
      <c r="E328" s="4"/>
      <c r="F328" s="4"/>
      <c r="G328" s="4"/>
      <c r="H328" s="4"/>
      <c r="I328" s="4"/>
      <c r="J328" s="4"/>
      <c r="K328" s="4"/>
      <c r="L328" s="4"/>
      <c r="M328" s="4"/>
      <c r="N328" s="4"/>
      <c r="O328" s="4"/>
      <c r="P328" s="4"/>
      <c r="Q328" s="4"/>
      <c r="R328" s="4"/>
      <c r="S328" s="4"/>
      <c r="T328" s="4"/>
      <c r="U328" s="4"/>
      <c r="V328" s="4"/>
      <c r="W328" s="4"/>
      <c r="X328" s="4"/>
      <c r="Y328" s="4"/>
    </row>
    <row r="329" spans="1:25" ht="33.75" customHeight="1">
      <c r="A329" s="4"/>
      <c r="B329" s="5"/>
      <c r="C329" s="7"/>
      <c r="D329" s="161"/>
      <c r="E329" s="4"/>
      <c r="F329" s="4"/>
      <c r="G329" s="4"/>
      <c r="H329" s="4"/>
      <c r="I329" s="4"/>
      <c r="J329" s="4"/>
      <c r="K329" s="4"/>
      <c r="L329" s="4"/>
      <c r="M329" s="4"/>
      <c r="N329" s="4"/>
      <c r="O329" s="4"/>
      <c r="P329" s="4"/>
      <c r="Q329" s="4"/>
      <c r="R329" s="4"/>
      <c r="S329" s="4"/>
      <c r="T329" s="4"/>
      <c r="U329" s="4"/>
      <c r="V329" s="4"/>
      <c r="W329" s="4"/>
      <c r="X329" s="4"/>
      <c r="Y329" s="4"/>
    </row>
    <row r="330" spans="1:25" ht="33.75" customHeight="1">
      <c r="A330" s="4"/>
      <c r="B330" s="5"/>
      <c r="C330" s="7"/>
      <c r="D330" s="161"/>
      <c r="E330" s="4"/>
      <c r="F330" s="4"/>
      <c r="G330" s="4"/>
      <c r="H330" s="4"/>
      <c r="I330" s="4"/>
      <c r="J330" s="4"/>
      <c r="K330" s="4"/>
      <c r="L330" s="4"/>
      <c r="M330" s="4"/>
      <c r="N330" s="4"/>
      <c r="O330" s="4"/>
      <c r="P330" s="4"/>
      <c r="Q330" s="4"/>
      <c r="R330" s="4"/>
      <c r="S330" s="4"/>
      <c r="T330" s="4"/>
      <c r="U330" s="4"/>
      <c r="V330" s="4"/>
      <c r="W330" s="4"/>
      <c r="X330" s="4"/>
      <c r="Y330" s="4"/>
    </row>
    <row r="331" spans="1:25" ht="33.75" customHeight="1">
      <c r="A331" s="4"/>
      <c r="B331" s="5"/>
      <c r="C331" s="7"/>
      <c r="D331" s="161"/>
      <c r="E331" s="4"/>
      <c r="F331" s="4"/>
      <c r="G331" s="4"/>
      <c r="H331" s="4"/>
      <c r="I331" s="4"/>
      <c r="J331" s="4"/>
      <c r="K331" s="4"/>
      <c r="L331" s="4"/>
      <c r="M331" s="4"/>
      <c r="N331" s="4"/>
      <c r="O331" s="4"/>
      <c r="P331" s="4"/>
      <c r="Q331" s="4"/>
      <c r="R331" s="4"/>
      <c r="S331" s="4"/>
      <c r="T331" s="4"/>
      <c r="U331" s="4"/>
      <c r="V331" s="4"/>
      <c r="W331" s="4"/>
      <c r="X331" s="4"/>
      <c r="Y331" s="4"/>
    </row>
    <row r="332" spans="1:25" ht="33.75" customHeight="1">
      <c r="A332" s="4"/>
      <c r="B332" s="5"/>
      <c r="C332" s="7"/>
      <c r="D332" s="161"/>
      <c r="E332" s="4"/>
      <c r="F332" s="4"/>
      <c r="G332" s="4"/>
      <c r="H332" s="4"/>
      <c r="I332" s="4"/>
      <c r="J332" s="4"/>
      <c r="K332" s="4"/>
      <c r="L332" s="4"/>
      <c r="M332" s="4"/>
      <c r="N332" s="4"/>
      <c r="O332" s="4"/>
      <c r="P332" s="4"/>
      <c r="Q332" s="4"/>
      <c r="R332" s="4"/>
      <c r="S332" s="4"/>
      <c r="T332" s="4"/>
      <c r="U332" s="4"/>
      <c r="V332" s="4"/>
      <c r="W332" s="4"/>
      <c r="X332" s="4"/>
      <c r="Y332" s="4"/>
    </row>
    <row r="333" spans="1:25" ht="33.75" customHeight="1">
      <c r="A333" s="4"/>
      <c r="B333" s="5"/>
      <c r="C333" s="7"/>
      <c r="D333" s="161"/>
      <c r="E333" s="4"/>
      <c r="F333" s="4"/>
      <c r="G333" s="4"/>
      <c r="H333" s="4"/>
      <c r="I333" s="4"/>
      <c r="J333" s="4"/>
      <c r="K333" s="4"/>
      <c r="L333" s="4"/>
      <c r="M333" s="4"/>
      <c r="N333" s="4"/>
      <c r="O333" s="4"/>
      <c r="P333" s="4"/>
      <c r="Q333" s="4"/>
      <c r="R333" s="4"/>
      <c r="S333" s="4"/>
      <c r="T333" s="4"/>
      <c r="U333" s="4"/>
      <c r="V333" s="4"/>
      <c r="W333" s="4"/>
      <c r="X333" s="4"/>
      <c r="Y333" s="4"/>
    </row>
    <row r="334" spans="1:25" ht="33.75" customHeight="1">
      <c r="A334" s="4"/>
      <c r="B334" s="5"/>
      <c r="C334" s="7"/>
      <c r="D334" s="161"/>
      <c r="E334" s="4"/>
      <c r="F334" s="4"/>
      <c r="G334" s="4"/>
      <c r="H334" s="4"/>
      <c r="I334" s="4"/>
      <c r="J334" s="4"/>
      <c r="K334" s="4"/>
      <c r="L334" s="4"/>
      <c r="M334" s="4"/>
      <c r="N334" s="4"/>
      <c r="O334" s="4"/>
      <c r="P334" s="4"/>
      <c r="Q334" s="4"/>
      <c r="R334" s="4"/>
      <c r="S334" s="4"/>
      <c r="T334" s="4"/>
      <c r="U334" s="4"/>
      <c r="V334" s="4"/>
      <c r="W334" s="4"/>
      <c r="X334" s="4"/>
      <c r="Y334" s="4"/>
    </row>
    <row r="335" spans="1:25" ht="33.75" customHeight="1">
      <c r="A335" s="4"/>
      <c r="B335" s="5"/>
      <c r="C335" s="7"/>
      <c r="D335" s="161"/>
      <c r="E335" s="4"/>
      <c r="F335" s="4"/>
      <c r="G335" s="4"/>
      <c r="H335" s="4"/>
      <c r="I335" s="4"/>
      <c r="J335" s="4"/>
      <c r="K335" s="4"/>
      <c r="L335" s="4"/>
      <c r="M335" s="4"/>
      <c r="N335" s="4"/>
      <c r="O335" s="4"/>
      <c r="P335" s="4"/>
      <c r="Q335" s="4"/>
      <c r="R335" s="4"/>
      <c r="S335" s="4"/>
      <c r="T335" s="4"/>
      <c r="U335" s="4"/>
      <c r="V335" s="4"/>
      <c r="W335" s="4"/>
      <c r="X335" s="4"/>
      <c r="Y335" s="4"/>
    </row>
    <row r="336" spans="1:25" ht="33.75" customHeight="1">
      <c r="A336" s="4"/>
      <c r="B336" s="5"/>
      <c r="C336" s="7"/>
      <c r="D336" s="161"/>
      <c r="E336" s="4"/>
      <c r="F336" s="4"/>
      <c r="G336" s="4"/>
      <c r="H336" s="4"/>
      <c r="I336" s="4"/>
      <c r="J336" s="4"/>
      <c r="K336" s="4"/>
      <c r="L336" s="4"/>
      <c r="M336" s="4"/>
      <c r="N336" s="4"/>
      <c r="O336" s="4"/>
      <c r="P336" s="4"/>
      <c r="Q336" s="4"/>
      <c r="R336" s="4"/>
      <c r="S336" s="4"/>
      <c r="T336" s="4"/>
      <c r="U336" s="4"/>
      <c r="V336" s="4"/>
      <c r="W336" s="4"/>
      <c r="X336" s="4"/>
      <c r="Y336" s="4"/>
    </row>
    <row r="337" spans="1:25" ht="33.75" customHeight="1">
      <c r="A337" s="4"/>
      <c r="B337" s="5"/>
      <c r="C337" s="7"/>
      <c r="D337" s="161"/>
      <c r="E337" s="4"/>
      <c r="F337" s="4"/>
      <c r="G337" s="4"/>
      <c r="H337" s="4"/>
      <c r="I337" s="4"/>
      <c r="J337" s="4"/>
      <c r="K337" s="4"/>
      <c r="L337" s="4"/>
      <c r="M337" s="4"/>
      <c r="N337" s="4"/>
      <c r="O337" s="4"/>
      <c r="P337" s="4"/>
      <c r="Q337" s="4"/>
      <c r="R337" s="4"/>
      <c r="S337" s="4"/>
      <c r="T337" s="4"/>
      <c r="U337" s="4"/>
      <c r="V337" s="4"/>
      <c r="W337" s="4"/>
      <c r="X337" s="4"/>
      <c r="Y337" s="4"/>
    </row>
    <row r="338" spans="1:25" ht="33.75" customHeight="1">
      <c r="A338" s="4"/>
      <c r="B338" s="5"/>
      <c r="C338" s="7"/>
      <c r="D338" s="161"/>
      <c r="E338" s="4"/>
      <c r="F338" s="4"/>
      <c r="G338" s="4"/>
      <c r="H338" s="4"/>
      <c r="I338" s="4"/>
      <c r="J338" s="4"/>
      <c r="K338" s="4"/>
      <c r="L338" s="4"/>
      <c r="M338" s="4"/>
      <c r="N338" s="4"/>
      <c r="O338" s="4"/>
      <c r="P338" s="4"/>
      <c r="Q338" s="4"/>
      <c r="R338" s="4"/>
      <c r="S338" s="4"/>
      <c r="T338" s="4"/>
      <c r="U338" s="4"/>
      <c r="V338" s="4"/>
      <c r="W338" s="4"/>
      <c r="X338" s="4"/>
      <c r="Y338" s="4"/>
    </row>
    <row r="339" spans="1:25" ht="33.75" customHeight="1">
      <c r="A339" s="4"/>
      <c r="B339" s="5"/>
      <c r="C339" s="7"/>
      <c r="D339" s="161"/>
      <c r="E339" s="4"/>
      <c r="F339" s="4"/>
      <c r="G339" s="4"/>
      <c r="H339" s="4"/>
      <c r="I339" s="4"/>
      <c r="J339" s="4"/>
      <c r="K339" s="4"/>
      <c r="L339" s="4"/>
      <c r="M339" s="4"/>
      <c r="N339" s="4"/>
      <c r="O339" s="4"/>
      <c r="P339" s="4"/>
      <c r="Q339" s="4"/>
      <c r="R339" s="4"/>
      <c r="S339" s="4"/>
      <c r="T339" s="4"/>
      <c r="U339" s="4"/>
      <c r="V339" s="4"/>
      <c r="W339" s="4"/>
      <c r="X339" s="4"/>
      <c r="Y339" s="4"/>
    </row>
    <row r="340" spans="1:25" ht="33.75" customHeight="1">
      <c r="A340" s="4"/>
      <c r="B340" s="5"/>
      <c r="C340" s="7"/>
      <c r="D340" s="161"/>
      <c r="E340" s="4"/>
      <c r="F340" s="4"/>
      <c r="G340" s="4"/>
      <c r="H340" s="4"/>
      <c r="I340" s="4"/>
      <c r="J340" s="4"/>
      <c r="K340" s="4"/>
      <c r="L340" s="4"/>
      <c r="M340" s="4"/>
      <c r="N340" s="4"/>
      <c r="O340" s="4"/>
      <c r="P340" s="4"/>
      <c r="Q340" s="4"/>
      <c r="R340" s="4"/>
      <c r="S340" s="4"/>
      <c r="T340" s="4"/>
      <c r="U340" s="4"/>
      <c r="V340" s="4"/>
      <c r="W340" s="4"/>
      <c r="X340" s="4"/>
      <c r="Y340" s="4"/>
    </row>
    <row r="341" spans="1:25" ht="33.75" customHeight="1">
      <c r="A341" s="4"/>
      <c r="B341" s="5"/>
      <c r="C341" s="7"/>
      <c r="D341" s="161"/>
      <c r="E341" s="4"/>
      <c r="F341" s="4"/>
      <c r="G341" s="4"/>
      <c r="H341" s="4"/>
      <c r="I341" s="4"/>
      <c r="J341" s="4"/>
      <c r="K341" s="4"/>
      <c r="L341" s="4"/>
      <c r="M341" s="4"/>
      <c r="N341" s="4"/>
      <c r="O341" s="4"/>
      <c r="P341" s="4"/>
      <c r="Q341" s="4"/>
      <c r="R341" s="4"/>
      <c r="S341" s="4"/>
      <c r="T341" s="4"/>
      <c r="U341" s="4"/>
      <c r="V341" s="4"/>
      <c r="W341" s="4"/>
      <c r="X341" s="4"/>
      <c r="Y341" s="4"/>
    </row>
    <row r="342" spans="1:25" ht="33.75" customHeight="1">
      <c r="A342" s="4"/>
      <c r="B342" s="5"/>
      <c r="C342" s="7"/>
      <c r="D342" s="161"/>
      <c r="E342" s="4"/>
      <c r="F342" s="4"/>
      <c r="G342" s="4"/>
      <c r="H342" s="4"/>
      <c r="I342" s="4"/>
      <c r="J342" s="4"/>
      <c r="K342" s="4"/>
      <c r="L342" s="4"/>
      <c r="M342" s="4"/>
      <c r="N342" s="4"/>
      <c r="O342" s="4"/>
      <c r="P342" s="4"/>
      <c r="Q342" s="4"/>
      <c r="R342" s="4"/>
      <c r="S342" s="4"/>
      <c r="T342" s="4"/>
      <c r="U342" s="4"/>
      <c r="V342" s="4"/>
      <c r="W342" s="4"/>
      <c r="X342" s="4"/>
      <c r="Y342" s="4"/>
    </row>
    <row r="343" spans="1:25" ht="33.75" customHeight="1">
      <c r="A343" s="4"/>
      <c r="B343" s="5"/>
      <c r="C343" s="7"/>
      <c r="D343" s="161"/>
      <c r="E343" s="4"/>
      <c r="F343" s="4"/>
      <c r="G343" s="4"/>
      <c r="H343" s="4"/>
      <c r="I343" s="4"/>
      <c r="J343" s="4"/>
      <c r="K343" s="4"/>
      <c r="L343" s="4"/>
      <c r="M343" s="4"/>
      <c r="N343" s="4"/>
      <c r="O343" s="4"/>
      <c r="P343" s="4"/>
      <c r="Q343" s="4"/>
      <c r="R343" s="4"/>
      <c r="S343" s="4"/>
      <c r="T343" s="4"/>
      <c r="U343" s="4"/>
      <c r="V343" s="4"/>
      <c r="W343" s="4"/>
      <c r="X343" s="4"/>
      <c r="Y343" s="4"/>
    </row>
    <row r="344" spans="1:25" ht="33.75" customHeight="1">
      <c r="A344" s="4"/>
      <c r="B344" s="5"/>
      <c r="C344" s="7"/>
      <c r="D344" s="161"/>
      <c r="E344" s="4"/>
      <c r="F344" s="4"/>
      <c r="G344" s="4"/>
      <c r="H344" s="4"/>
      <c r="I344" s="4"/>
      <c r="J344" s="4"/>
      <c r="K344" s="4"/>
      <c r="L344" s="4"/>
      <c r="M344" s="4"/>
      <c r="N344" s="4"/>
      <c r="O344" s="4"/>
      <c r="P344" s="4"/>
      <c r="Q344" s="4"/>
      <c r="R344" s="4"/>
      <c r="S344" s="4"/>
      <c r="T344" s="4"/>
      <c r="U344" s="4"/>
      <c r="V344" s="4"/>
      <c r="W344" s="4"/>
      <c r="X344" s="4"/>
      <c r="Y344" s="4"/>
    </row>
    <row r="345" spans="1:25" ht="33.75" customHeight="1">
      <c r="A345" s="4"/>
      <c r="B345" s="5"/>
      <c r="C345" s="7"/>
      <c r="D345" s="161"/>
      <c r="E345" s="4"/>
      <c r="F345" s="4"/>
      <c r="G345" s="4"/>
      <c r="H345" s="4"/>
      <c r="I345" s="4"/>
      <c r="J345" s="4"/>
      <c r="K345" s="4"/>
      <c r="L345" s="4"/>
      <c r="M345" s="4"/>
      <c r="N345" s="4"/>
      <c r="O345" s="4"/>
      <c r="P345" s="4"/>
      <c r="Q345" s="4"/>
      <c r="R345" s="4"/>
      <c r="S345" s="4"/>
      <c r="T345" s="4"/>
      <c r="U345" s="4"/>
      <c r="V345" s="4"/>
      <c r="W345" s="4"/>
      <c r="X345" s="4"/>
      <c r="Y345" s="4"/>
    </row>
    <row r="346" spans="1:25" ht="33.75" customHeight="1">
      <c r="A346" s="4"/>
      <c r="B346" s="5"/>
      <c r="C346" s="7"/>
      <c r="D346" s="161"/>
      <c r="E346" s="4"/>
      <c r="F346" s="4"/>
      <c r="G346" s="4"/>
      <c r="H346" s="4"/>
      <c r="I346" s="4"/>
      <c r="J346" s="4"/>
      <c r="K346" s="4"/>
      <c r="L346" s="4"/>
      <c r="M346" s="4"/>
      <c r="N346" s="4"/>
      <c r="O346" s="4"/>
      <c r="P346" s="4"/>
      <c r="Q346" s="4"/>
      <c r="R346" s="4"/>
      <c r="S346" s="4"/>
      <c r="T346" s="4"/>
      <c r="U346" s="4"/>
      <c r="V346" s="4"/>
      <c r="W346" s="4"/>
      <c r="X346" s="4"/>
      <c r="Y346" s="4"/>
    </row>
    <row r="347" spans="1:25" ht="33.75" customHeight="1">
      <c r="A347" s="4"/>
      <c r="B347" s="5"/>
      <c r="C347" s="7"/>
      <c r="D347" s="161"/>
      <c r="E347" s="4"/>
      <c r="F347" s="4"/>
      <c r="G347" s="4"/>
      <c r="H347" s="4"/>
      <c r="I347" s="4"/>
      <c r="J347" s="4"/>
      <c r="K347" s="4"/>
      <c r="L347" s="4"/>
      <c r="M347" s="4"/>
      <c r="N347" s="4"/>
      <c r="O347" s="4"/>
      <c r="P347" s="4"/>
      <c r="Q347" s="4"/>
      <c r="R347" s="4"/>
      <c r="S347" s="4"/>
      <c r="T347" s="4"/>
      <c r="U347" s="4"/>
      <c r="V347" s="4"/>
      <c r="W347" s="4"/>
      <c r="X347" s="4"/>
      <c r="Y347" s="4"/>
    </row>
    <row r="348" spans="1:25" ht="33.75" customHeight="1">
      <c r="A348" s="4"/>
      <c r="B348" s="5"/>
      <c r="C348" s="7"/>
      <c r="D348" s="161"/>
      <c r="E348" s="4"/>
      <c r="F348" s="4"/>
      <c r="G348" s="4"/>
      <c r="H348" s="4"/>
      <c r="I348" s="4"/>
      <c r="J348" s="4"/>
      <c r="K348" s="4"/>
      <c r="L348" s="4"/>
      <c r="M348" s="4"/>
      <c r="N348" s="4"/>
      <c r="O348" s="4"/>
      <c r="P348" s="4"/>
      <c r="Q348" s="4"/>
      <c r="R348" s="4"/>
      <c r="S348" s="4"/>
      <c r="T348" s="4"/>
      <c r="U348" s="4"/>
      <c r="V348" s="4"/>
      <c r="W348" s="4"/>
      <c r="X348" s="4"/>
      <c r="Y348" s="4"/>
    </row>
    <row r="349" spans="1:25" ht="33.75" customHeight="1">
      <c r="A349" s="4"/>
      <c r="B349" s="5"/>
      <c r="C349" s="7"/>
      <c r="D349" s="161"/>
      <c r="E349" s="4"/>
      <c r="F349" s="4"/>
      <c r="G349" s="4"/>
      <c r="H349" s="4"/>
      <c r="I349" s="4"/>
      <c r="J349" s="4"/>
      <c r="K349" s="4"/>
      <c r="L349" s="4"/>
      <c r="M349" s="4"/>
      <c r="N349" s="4"/>
      <c r="O349" s="4"/>
      <c r="P349" s="4"/>
      <c r="Q349" s="4"/>
      <c r="R349" s="4"/>
      <c r="S349" s="4"/>
      <c r="T349" s="4"/>
      <c r="U349" s="4"/>
      <c r="V349" s="4"/>
      <c r="W349" s="4"/>
      <c r="X349" s="4"/>
      <c r="Y349" s="4"/>
    </row>
    <row r="350" spans="1:25" ht="33.75" customHeight="1">
      <c r="A350" s="4"/>
      <c r="B350" s="5"/>
      <c r="C350" s="7"/>
      <c r="D350" s="161"/>
      <c r="E350" s="4"/>
      <c r="F350" s="4"/>
      <c r="G350" s="4"/>
      <c r="H350" s="4"/>
      <c r="I350" s="4"/>
      <c r="J350" s="4"/>
      <c r="K350" s="4"/>
      <c r="L350" s="4"/>
      <c r="M350" s="4"/>
      <c r="N350" s="4"/>
      <c r="O350" s="4"/>
      <c r="P350" s="4"/>
      <c r="Q350" s="4"/>
      <c r="R350" s="4"/>
      <c r="S350" s="4"/>
      <c r="T350" s="4"/>
      <c r="U350" s="4"/>
      <c r="V350" s="4"/>
      <c r="W350" s="4"/>
      <c r="X350" s="4"/>
      <c r="Y350" s="4"/>
    </row>
    <row r="351" spans="1:25" ht="33.75" customHeight="1">
      <c r="A351" s="4"/>
      <c r="B351" s="5"/>
      <c r="C351" s="7"/>
      <c r="D351" s="161"/>
      <c r="E351" s="4"/>
      <c r="F351" s="4"/>
      <c r="G351" s="4"/>
      <c r="H351" s="4"/>
      <c r="I351" s="4"/>
      <c r="J351" s="4"/>
      <c r="K351" s="4"/>
      <c r="L351" s="4"/>
      <c r="M351" s="4"/>
      <c r="N351" s="4"/>
      <c r="O351" s="4"/>
      <c r="P351" s="4"/>
      <c r="Q351" s="4"/>
      <c r="R351" s="4"/>
      <c r="S351" s="4"/>
      <c r="T351" s="4"/>
      <c r="U351" s="4"/>
      <c r="V351" s="4"/>
      <c r="W351" s="4"/>
      <c r="X351" s="4"/>
      <c r="Y351" s="4"/>
    </row>
    <row r="352" spans="1:25" ht="33.75" customHeight="1">
      <c r="A352" s="4"/>
      <c r="B352" s="5"/>
      <c r="C352" s="7"/>
      <c r="D352" s="161"/>
      <c r="E352" s="4"/>
      <c r="F352" s="4"/>
      <c r="G352" s="4"/>
      <c r="H352" s="4"/>
      <c r="I352" s="4"/>
      <c r="J352" s="4"/>
      <c r="K352" s="4"/>
      <c r="L352" s="4"/>
      <c r="M352" s="4"/>
      <c r="N352" s="4"/>
      <c r="O352" s="4"/>
      <c r="P352" s="4"/>
      <c r="Q352" s="4"/>
      <c r="R352" s="4"/>
      <c r="S352" s="4"/>
      <c r="T352" s="4"/>
      <c r="U352" s="4"/>
      <c r="V352" s="4"/>
      <c r="W352" s="4"/>
      <c r="X352" s="4"/>
      <c r="Y352" s="4"/>
    </row>
    <row r="353" spans="1:25" ht="33.75" customHeight="1">
      <c r="A353" s="4"/>
      <c r="B353" s="5"/>
      <c r="C353" s="7"/>
      <c r="D353" s="161"/>
      <c r="E353" s="4"/>
      <c r="F353" s="4"/>
      <c r="G353" s="4"/>
      <c r="H353" s="4"/>
      <c r="I353" s="4"/>
      <c r="J353" s="4"/>
      <c r="K353" s="4"/>
      <c r="L353" s="4"/>
      <c r="M353" s="4"/>
      <c r="N353" s="4"/>
      <c r="O353" s="4"/>
      <c r="P353" s="4"/>
      <c r="Q353" s="4"/>
      <c r="R353" s="4"/>
      <c r="S353" s="4"/>
      <c r="T353" s="4"/>
      <c r="U353" s="4"/>
      <c r="V353" s="4"/>
      <c r="W353" s="4"/>
      <c r="X353" s="4"/>
      <c r="Y353" s="4"/>
    </row>
    <row r="354" spans="1:25" ht="33.75" customHeight="1">
      <c r="A354" s="4"/>
      <c r="B354" s="5"/>
      <c r="C354" s="7"/>
      <c r="D354" s="161"/>
      <c r="E354" s="4"/>
      <c r="F354" s="4"/>
      <c r="G354" s="4"/>
      <c r="H354" s="4"/>
      <c r="I354" s="4"/>
      <c r="J354" s="4"/>
      <c r="K354" s="4"/>
      <c r="L354" s="4"/>
      <c r="M354" s="4"/>
      <c r="N354" s="4"/>
      <c r="O354" s="4"/>
      <c r="P354" s="4"/>
      <c r="Q354" s="4"/>
      <c r="R354" s="4"/>
      <c r="S354" s="4"/>
      <c r="T354" s="4"/>
      <c r="U354" s="4"/>
      <c r="V354" s="4"/>
      <c r="W354" s="4"/>
      <c r="X354" s="4"/>
      <c r="Y354" s="4"/>
    </row>
    <row r="355" spans="1:25" ht="33.75" customHeight="1">
      <c r="A355" s="4"/>
      <c r="B355" s="5"/>
      <c r="C355" s="7"/>
      <c r="D355" s="161"/>
      <c r="E355" s="4"/>
      <c r="F355" s="4"/>
      <c r="G355" s="4"/>
      <c r="H355" s="4"/>
      <c r="I355" s="4"/>
      <c r="J355" s="4"/>
      <c r="K355" s="4"/>
      <c r="L355" s="4"/>
      <c r="M355" s="4"/>
      <c r="N355" s="4"/>
      <c r="O355" s="4"/>
      <c r="P355" s="4"/>
      <c r="Q355" s="4"/>
      <c r="R355" s="4"/>
      <c r="S355" s="4"/>
      <c r="T355" s="4"/>
      <c r="U355" s="4"/>
      <c r="V355" s="4"/>
      <c r="W355" s="4"/>
      <c r="X355" s="4"/>
      <c r="Y355" s="4"/>
    </row>
    <row r="356" spans="1:25" ht="33.75" customHeight="1">
      <c r="A356" s="4"/>
      <c r="B356" s="5"/>
      <c r="C356" s="7"/>
      <c r="D356" s="161"/>
      <c r="E356" s="4"/>
      <c r="F356" s="4"/>
      <c r="G356" s="4"/>
      <c r="H356" s="4"/>
      <c r="I356" s="4"/>
      <c r="J356" s="4"/>
      <c r="K356" s="4"/>
      <c r="L356" s="4"/>
      <c r="M356" s="4"/>
      <c r="N356" s="4"/>
      <c r="O356" s="4"/>
      <c r="P356" s="4"/>
      <c r="Q356" s="4"/>
      <c r="R356" s="4"/>
      <c r="S356" s="4"/>
      <c r="T356" s="4"/>
      <c r="U356" s="4"/>
      <c r="V356" s="4"/>
      <c r="W356" s="4"/>
      <c r="X356" s="4"/>
      <c r="Y356" s="4"/>
    </row>
    <row r="357" spans="1:25" ht="33.75" customHeight="1">
      <c r="A357" s="4"/>
      <c r="B357" s="5"/>
      <c r="C357" s="7"/>
      <c r="D357" s="161"/>
      <c r="E357" s="4"/>
      <c r="F357" s="4"/>
      <c r="G357" s="4"/>
      <c r="H357" s="4"/>
      <c r="I357" s="4"/>
      <c r="J357" s="4"/>
      <c r="K357" s="4"/>
      <c r="L357" s="4"/>
      <c r="M357" s="4"/>
      <c r="N357" s="4"/>
      <c r="O357" s="4"/>
      <c r="P357" s="4"/>
      <c r="Q357" s="4"/>
      <c r="R357" s="4"/>
      <c r="S357" s="4"/>
      <c r="T357" s="4"/>
      <c r="U357" s="4"/>
      <c r="V357" s="4"/>
      <c r="W357" s="4"/>
      <c r="X357" s="4"/>
      <c r="Y357" s="4"/>
    </row>
    <row r="358" spans="1:25" ht="33.75" customHeight="1">
      <c r="A358" s="4"/>
      <c r="B358" s="5"/>
      <c r="C358" s="7"/>
      <c r="D358" s="161"/>
      <c r="E358" s="4"/>
      <c r="F358" s="4"/>
      <c r="G358" s="4"/>
      <c r="H358" s="4"/>
      <c r="I358" s="4"/>
      <c r="J358" s="4"/>
      <c r="K358" s="4"/>
      <c r="L358" s="4"/>
      <c r="M358" s="4"/>
      <c r="N358" s="4"/>
      <c r="O358" s="4"/>
      <c r="P358" s="4"/>
      <c r="Q358" s="4"/>
      <c r="R358" s="4"/>
      <c r="S358" s="4"/>
      <c r="T358" s="4"/>
      <c r="U358" s="4"/>
      <c r="V358" s="4"/>
      <c r="W358" s="4"/>
      <c r="X358" s="4"/>
      <c r="Y358" s="4"/>
    </row>
    <row r="359" spans="1:25" ht="33.75" customHeight="1">
      <c r="A359" s="4"/>
      <c r="B359" s="5"/>
      <c r="C359" s="7"/>
      <c r="D359" s="161"/>
      <c r="E359" s="4"/>
      <c r="F359" s="4"/>
      <c r="G359" s="4"/>
      <c r="H359" s="4"/>
      <c r="I359" s="4"/>
      <c r="J359" s="4"/>
      <c r="K359" s="4"/>
      <c r="L359" s="4"/>
      <c r="M359" s="4"/>
      <c r="N359" s="4"/>
      <c r="O359" s="4"/>
      <c r="P359" s="4"/>
      <c r="Q359" s="4"/>
      <c r="R359" s="4"/>
      <c r="S359" s="4"/>
      <c r="T359" s="4"/>
      <c r="U359" s="4"/>
      <c r="V359" s="4"/>
      <c r="W359" s="4"/>
      <c r="X359" s="4"/>
      <c r="Y359" s="4"/>
    </row>
    <row r="360" spans="1:25" ht="33.75" customHeight="1">
      <c r="A360" s="4"/>
      <c r="B360" s="5"/>
      <c r="C360" s="7"/>
      <c r="D360" s="161"/>
      <c r="E360" s="4"/>
      <c r="F360" s="4"/>
      <c r="G360" s="4"/>
      <c r="H360" s="4"/>
      <c r="I360" s="4"/>
      <c r="J360" s="4"/>
      <c r="K360" s="4"/>
      <c r="L360" s="4"/>
      <c r="M360" s="4"/>
      <c r="N360" s="4"/>
      <c r="O360" s="4"/>
      <c r="P360" s="4"/>
      <c r="Q360" s="4"/>
      <c r="R360" s="4"/>
      <c r="S360" s="4"/>
      <c r="T360" s="4"/>
      <c r="U360" s="4"/>
      <c r="V360" s="4"/>
      <c r="W360" s="4"/>
      <c r="X360" s="4"/>
      <c r="Y360" s="4"/>
    </row>
    <row r="361" spans="1:25" ht="33.75" customHeight="1">
      <c r="A361" s="4"/>
      <c r="B361" s="5"/>
      <c r="C361" s="7"/>
      <c r="D361" s="161"/>
      <c r="E361" s="4"/>
      <c r="F361" s="4"/>
      <c r="G361" s="4"/>
      <c r="H361" s="4"/>
      <c r="I361" s="4"/>
      <c r="J361" s="4"/>
      <c r="K361" s="4"/>
      <c r="L361" s="4"/>
      <c r="M361" s="4"/>
      <c r="N361" s="4"/>
      <c r="O361" s="4"/>
      <c r="P361" s="4"/>
      <c r="Q361" s="4"/>
      <c r="R361" s="4"/>
      <c r="S361" s="4"/>
      <c r="T361" s="4"/>
      <c r="U361" s="4"/>
      <c r="V361" s="4"/>
      <c r="W361" s="4"/>
      <c r="X361" s="4"/>
      <c r="Y361" s="4"/>
    </row>
    <row r="362" spans="1:25" ht="33.75" customHeight="1">
      <c r="A362" s="4"/>
      <c r="B362" s="5"/>
      <c r="C362" s="7"/>
      <c r="D362" s="161"/>
      <c r="E362" s="4"/>
      <c r="F362" s="4"/>
      <c r="G362" s="4"/>
      <c r="H362" s="4"/>
      <c r="I362" s="4"/>
      <c r="J362" s="4"/>
      <c r="K362" s="4"/>
      <c r="L362" s="4"/>
      <c r="M362" s="4"/>
      <c r="N362" s="4"/>
      <c r="O362" s="4"/>
      <c r="P362" s="4"/>
      <c r="Q362" s="4"/>
      <c r="R362" s="4"/>
      <c r="S362" s="4"/>
      <c r="T362" s="4"/>
      <c r="U362" s="4"/>
      <c r="V362" s="4"/>
      <c r="W362" s="4"/>
      <c r="X362" s="4"/>
      <c r="Y362" s="4"/>
    </row>
    <row r="363" spans="1:25" ht="33.75" customHeight="1">
      <c r="A363" s="4"/>
      <c r="B363" s="5"/>
      <c r="C363" s="7"/>
      <c r="D363" s="161"/>
      <c r="E363" s="4"/>
      <c r="F363" s="4"/>
      <c r="G363" s="4"/>
      <c r="H363" s="4"/>
      <c r="I363" s="4"/>
      <c r="J363" s="4"/>
      <c r="K363" s="4"/>
      <c r="L363" s="4"/>
      <c r="M363" s="4"/>
      <c r="N363" s="4"/>
      <c r="O363" s="4"/>
      <c r="P363" s="4"/>
      <c r="Q363" s="4"/>
      <c r="R363" s="4"/>
      <c r="S363" s="4"/>
      <c r="T363" s="4"/>
      <c r="U363" s="4"/>
      <c r="V363" s="4"/>
      <c r="W363" s="4"/>
      <c r="X363" s="4"/>
      <c r="Y363" s="4"/>
    </row>
    <row r="364" spans="1:25" ht="33.75" customHeight="1">
      <c r="A364" s="4"/>
      <c r="B364" s="5"/>
      <c r="C364" s="7"/>
      <c r="D364" s="161"/>
      <c r="E364" s="4"/>
      <c r="F364" s="4"/>
      <c r="G364" s="4"/>
      <c r="H364" s="4"/>
      <c r="I364" s="4"/>
      <c r="J364" s="4"/>
      <c r="K364" s="4"/>
      <c r="L364" s="4"/>
      <c r="M364" s="4"/>
      <c r="N364" s="4"/>
      <c r="O364" s="4"/>
      <c r="P364" s="4"/>
      <c r="Q364" s="4"/>
      <c r="R364" s="4"/>
      <c r="S364" s="4"/>
      <c r="T364" s="4"/>
      <c r="U364" s="4"/>
      <c r="V364" s="4"/>
      <c r="W364" s="4"/>
      <c r="X364" s="4"/>
      <c r="Y364" s="4"/>
    </row>
    <row r="365" spans="1:25" ht="33.75" customHeight="1">
      <c r="A365" s="4"/>
      <c r="B365" s="5"/>
      <c r="C365" s="7"/>
      <c r="D365" s="161"/>
      <c r="E365" s="4"/>
      <c r="F365" s="4"/>
      <c r="G365" s="4"/>
      <c r="H365" s="4"/>
      <c r="I365" s="4"/>
      <c r="J365" s="4"/>
      <c r="K365" s="4"/>
      <c r="L365" s="4"/>
      <c r="M365" s="4"/>
      <c r="N365" s="4"/>
      <c r="O365" s="4"/>
      <c r="P365" s="4"/>
      <c r="Q365" s="4"/>
      <c r="R365" s="4"/>
      <c r="S365" s="4"/>
      <c r="T365" s="4"/>
      <c r="U365" s="4"/>
      <c r="V365" s="4"/>
      <c r="W365" s="4"/>
      <c r="X365" s="4"/>
      <c r="Y365" s="4"/>
    </row>
    <row r="366" spans="1:25" ht="33.75" customHeight="1">
      <c r="A366" s="4"/>
      <c r="B366" s="5"/>
      <c r="C366" s="7"/>
      <c r="D366" s="161"/>
      <c r="E366" s="4"/>
      <c r="F366" s="4"/>
      <c r="G366" s="4"/>
      <c r="H366" s="4"/>
      <c r="I366" s="4"/>
      <c r="J366" s="4"/>
      <c r="K366" s="4"/>
      <c r="L366" s="4"/>
      <c r="M366" s="4"/>
      <c r="N366" s="4"/>
      <c r="O366" s="4"/>
      <c r="P366" s="4"/>
      <c r="Q366" s="4"/>
      <c r="R366" s="4"/>
      <c r="S366" s="4"/>
      <c r="T366" s="4"/>
      <c r="U366" s="4"/>
      <c r="V366" s="4"/>
      <c r="W366" s="4"/>
      <c r="X366" s="4"/>
      <c r="Y366" s="4"/>
    </row>
    <row r="367" spans="1:25" ht="33.75" customHeight="1">
      <c r="A367" s="4"/>
      <c r="B367" s="5"/>
      <c r="C367" s="7"/>
      <c r="D367" s="161"/>
      <c r="E367" s="4"/>
      <c r="F367" s="4"/>
      <c r="G367" s="4"/>
      <c r="H367" s="4"/>
      <c r="I367" s="4"/>
      <c r="J367" s="4"/>
      <c r="K367" s="4"/>
      <c r="L367" s="4"/>
      <c r="M367" s="4"/>
      <c r="N367" s="4"/>
      <c r="O367" s="4"/>
      <c r="P367" s="4"/>
      <c r="Q367" s="4"/>
      <c r="R367" s="4"/>
      <c r="S367" s="4"/>
      <c r="T367" s="4"/>
      <c r="U367" s="4"/>
      <c r="V367" s="4"/>
      <c r="W367" s="4"/>
      <c r="X367" s="4"/>
      <c r="Y367" s="4"/>
    </row>
    <row r="368" spans="1:25" ht="33.75" customHeight="1">
      <c r="A368" s="4"/>
      <c r="B368" s="5"/>
      <c r="C368" s="7"/>
      <c r="D368" s="161"/>
      <c r="E368" s="4"/>
      <c r="F368" s="4"/>
      <c r="G368" s="4"/>
      <c r="H368" s="4"/>
      <c r="I368" s="4"/>
      <c r="J368" s="4"/>
      <c r="K368" s="4"/>
      <c r="L368" s="4"/>
      <c r="M368" s="4"/>
      <c r="N368" s="4"/>
      <c r="O368" s="4"/>
      <c r="P368" s="4"/>
      <c r="Q368" s="4"/>
      <c r="R368" s="4"/>
      <c r="S368" s="4"/>
      <c r="T368" s="4"/>
      <c r="U368" s="4"/>
      <c r="V368" s="4"/>
      <c r="W368" s="4"/>
      <c r="X368" s="4"/>
      <c r="Y368" s="4"/>
    </row>
    <row r="369" spans="1:25" ht="33.75" customHeight="1">
      <c r="A369" s="4"/>
      <c r="B369" s="5"/>
      <c r="C369" s="7"/>
      <c r="D369" s="161"/>
      <c r="E369" s="4"/>
      <c r="F369" s="4"/>
      <c r="G369" s="4"/>
      <c r="H369" s="4"/>
      <c r="I369" s="4"/>
      <c r="J369" s="4"/>
      <c r="K369" s="4"/>
      <c r="L369" s="4"/>
      <c r="M369" s="4"/>
      <c r="N369" s="4"/>
      <c r="O369" s="4"/>
      <c r="P369" s="4"/>
      <c r="Q369" s="4"/>
      <c r="R369" s="4"/>
      <c r="S369" s="4"/>
      <c r="T369" s="4"/>
      <c r="U369" s="4"/>
      <c r="V369" s="4"/>
      <c r="W369" s="4"/>
      <c r="X369" s="4"/>
      <c r="Y369" s="4"/>
    </row>
    <row r="370" spans="1:25" ht="33.75" customHeight="1">
      <c r="A370" s="4"/>
      <c r="B370" s="5"/>
      <c r="C370" s="7"/>
      <c r="D370" s="161"/>
      <c r="E370" s="4"/>
      <c r="F370" s="4"/>
      <c r="G370" s="4"/>
      <c r="H370" s="4"/>
      <c r="I370" s="4"/>
      <c r="J370" s="4"/>
      <c r="K370" s="4"/>
      <c r="L370" s="4"/>
      <c r="M370" s="4"/>
      <c r="N370" s="4"/>
      <c r="O370" s="4"/>
      <c r="P370" s="4"/>
      <c r="Q370" s="4"/>
      <c r="R370" s="4"/>
      <c r="S370" s="4"/>
      <c r="T370" s="4"/>
      <c r="U370" s="4"/>
      <c r="V370" s="4"/>
      <c r="W370" s="4"/>
      <c r="X370" s="4"/>
      <c r="Y370" s="4"/>
    </row>
    <row r="371" spans="1:25" ht="33.75" customHeight="1">
      <c r="A371" s="4"/>
      <c r="B371" s="5"/>
      <c r="C371" s="7"/>
      <c r="D371" s="161"/>
      <c r="E371" s="4"/>
      <c r="F371" s="4"/>
      <c r="G371" s="4"/>
      <c r="H371" s="4"/>
      <c r="I371" s="4"/>
      <c r="J371" s="4"/>
      <c r="K371" s="4"/>
      <c r="L371" s="4"/>
      <c r="M371" s="4"/>
      <c r="N371" s="4"/>
      <c r="O371" s="4"/>
      <c r="P371" s="4"/>
      <c r="Q371" s="4"/>
      <c r="R371" s="4"/>
      <c r="S371" s="4"/>
      <c r="T371" s="4"/>
      <c r="U371" s="4"/>
      <c r="V371" s="4"/>
      <c r="W371" s="4"/>
      <c r="X371" s="4"/>
      <c r="Y371" s="4"/>
    </row>
    <row r="372" spans="1:25" ht="33.75" customHeight="1">
      <c r="A372" s="4"/>
      <c r="B372" s="5"/>
      <c r="C372" s="7"/>
      <c r="D372" s="161"/>
      <c r="E372" s="4"/>
      <c r="F372" s="4"/>
      <c r="G372" s="4"/>
      <c r="H372" s="4"/>
      <c r="I372" s="4"/>
      <c r="J372" s="4"/>
      <c r="K372" s="4"/>
      <c r="L372" s="4"/>
      <c r="M372" s="4"/>
      <c r="N372" s="4"/>
      <c r="O372" s="4"/>
      <c r="P372" s="4"/>
      <c r="Q372" s="4"/>
      <c r="R372" s="4"/>
      <c r="S372" s="4"/>
      <c r="T372" s="4"/>
      <c r="U372" s="4"/>
      <c r="V372" s="4"/>
      <c r="W372" s="4"/>
      <c r="X372" s="4"/>
      <c r="Y372" s="4"/>
    </row>
    <row r="373" spans="1:25" ht="33.75" customHeight="1">
      <c r="A373" s="4"/>
      <c r="B373" s="5"/>
      <c r="C373" s="7"/>
      <c r="D373" s="161"/>
      <c r="E373" s="4"/>
      <c r="F373" s="4"/>
      <c r="G373" s="4"/>
      <c r="H373" s="4"/>
      <c r="I373" s="4"/>
      <c r="J373" s="4"/>
      <c r="K373" s="4"/>
      <c r="L373" s="4"/>
      <c r="M373" s="4"/>
      <c r="N373" s="4"/>
      <c r="O373" s="4"/>
      <c r="P373" s="4"/>
      <c r="Q373" s="4"/>
      <c r="R373" s="4"/>
      <c r="S373" s="4"/>
      <c r="T373" s="4"/>
      <c r="U373" s="4"/>
      <c r="V373" s="4"/>
      <c r="W373" s="4"/>
      <c r="X373" s="4"/>
      <c r="Y373" s="4"/>
    </row>
    <row r="374" spans="1:25" ht="33.75" customHeight="1">
      <c r="A374" s="4"/>
      <c r="B374" s="5"/>
      <c r="C374" s="7"/>
      <c r="D374" s="161"/>
      <c r="E374" s="4"/>
      <c r="F374" s="4"/>
      <c r="G374" s="4"/>
      <c r="H374" s="4"/>
      <c r="I374" s="4"/>
      <c r="J374" s="4"/>
      <c r="K374" s="4"/>
      <c r="L374" s="4"/>
      <c r="M374" s="4"/>
      <c r="N374" s="4"/>
      <c r="O374" s="4"/>
      <c r="P374" s="4"/>
      <c r="Q374" s="4"/>
      <c r="R374" s="4"/>
      <c r="S374" s="4"/>
      <c r="T374" s="4"/>
      <c r="U374" s="4"/>
      <c r="V374" s="4"/>
      <c r="W374" s="4"/>
      <c r="X374" s="4"/>
      <c r="Y374" s="4"/>
    </row>
    <row r="375" spans="1:25" ht="33.75" customHeight="1">
      <c r="A375" s="4"/>
      <c r="B375" s="5"/>
      <c r="C375" s="7"/>
      <c r="D375" s="161"/>
      <c r="E375" s="4"/>
      <c r="F375" s="4"/>
      <c r="G375" s="4"/>
      <c r="H375" s="4"/>
      <c r="I375" s="4"/>
      <c r="J375" s="4"/>
      <c r="K375" s="4"/>
      <c r="L375" s="4"/>
      <c r="M375" s="4"/>
      <c r="N375" s="4"/>
      <c r="O375" s="4"/>
      <c r="P375" s="4"/>
      <c r="Q375" s="4"/>
      <c r="R375" s="4"/>
      <c r="S375" s="4"/>
      <c r="T375" s="4"/>
      <c r="U375" s="4"/>
      <c r="V375" s="4"/>
      <c r="W375" s="4"/>
      <c r="X375" s="4"/>
      <c r="Y375" s="4"/>
    </row>
    <row r="376" spans="1:25" ht="33.75" customHeight="1">
      <c r="A376" s="4"/>
      <c r="B376" s="5"/>
      <c r="C376" s="7"/>
      <c r="D376" s="161"/>
      <c r="E376" s="4"/>
      <c r="F376" s="4"/>
      <c r="G376" s="4"/>
      <c r="H376" s="4"/>
      <c r="I376" s="4"/>
      <c r="J376" s="4"/>
      <c r="K376" s="4"/>
      <c r="L376" s="4"/>
      <c r="M376" s="4"/>
      <c r="N376" s="4"/>
      <c r="O376" s="4"/>
      <c r="P376" s="4"/>
      <c r="Q376" s="4"/>
      <c r="R376" s="4"/>
      <c r="S376" s="4"/>
      <c r="T376" s="4"/>
      <c r="U376" s="4"/>
      <c r="V376" s="4"/>
      <c r="W376" s="4"/>
      <c r="X376" s="4"/>
      <c r="Y376" s="4"/>
    </row>
    <row r="377" spans="1:25" ht="33.75" customHeight="1">
      <c r="A377" s="4"/>
      <c r="B377" s="5"/>
      <c r="C377" s="7"/>
      <c r="D377" s="161"/>
      <c r="E377" s="4"/>
      <c r="F377" s="4"/>
      <c r="G377" s="4"/>
      <c r="H377" s="4"/>
      <c r="I377" s="4"/>
      <c r="J377" s="4"/>
      <c r="K377" s="4"/>
      <c r="L377" s="4"/>
      <c r="M377" s="4"/>
      <c r="N377" s="4"/>
      <c r="O377" s="4"/>
      <c r="P377" s="4"/>
      <c r="Q377" s="4"/>
      <c r="R377" s="4"/>
      <c r="S377" s="4"/>
      <c r="T377" s="4"/>
      <c r="U377" s="4"/>
      <c r="V377" s="4"/>
      <c r="W377" s="4"/>
      <c r="X377" s="4"/>
      <c r="Y377" s="4"/>
    </row>
    <row r="378" spans="1:25" ht="33.75" customHeight="1">
      <c r="A378" s="4"/>
      <c r="B378" s="5"/>
      <c r="C378" s="7"/>
      <c r="D378" s="161"/>
      <c r="E378" s="4"/>
      <c r="F378" s="4"/>
      <c r="G378" s="4"/>
      <c r="H378" s="4"/>
      <c r="I378" s="4"/>
      <c r="J378" s="4"/>
      <c r="K378" s="4"/>
      <c r="L378" s="4"/>
      <c r="M378" s="4"/>
      <c r="N378" s="4"/>
      <c r="O378" s="4"/>
      <c r="P378" s="4"/>
      <c r="Q378" s="4"/>
      <c r="R378" s="4"/>
      <c r="S378" s="4"/>
      <c r="T378" s="4"/>
      <c r="U378" s="4"/>
      <c r="V378" s="4"/>
      <c r="W378" s="4"/>
      <c r="X378" s="4"/>
      <c r="Y378" s="4"/>
    </row>
    <row r="379" spans="1:25" ht="33.75" customHeight="1">
      <c r="A379" s="4"/>
      <c r="B379" s="5"/>
      <c r="C379" s="7"/>
      <c r="D379" s="161"/>
      <c r="E379" s="4"/>
      <c r="F379" s="4"/>
      <c r="G379" s="4"/>
      <c r="H379" s="4"/>
      <c r="I379" s="4"/>
      <c r="J379" s="4"/>
      <c r="K379" s="4"/>
      <c r="L379" s="4"/>
      <c r="M379" s="4"/>
      <c r="N379" s="4"/>
      <c r="O379" s="4"/>
      <c r="P379" s="4"/>
      <c r="Q379" s="4"/>
      <c r="R379" s="4"/>
      <c r="S379" s="4"/>
      <c r="T379" s="4"/>
      <c r="U379" s="4"/>
      <c r="V379" s="4"/>
      <c r="W379" s="4"/>
      <c r="X379" s="4"/>
      <c r="Y379" s="4"/>
    </row>
    <row r="380" spans="1:25" ht="33.75" customHeight="1">
      <c r="A380" s="4"/>
      <c r="B380" s="5"/>
      <c r="C380" s="7"/>
      <c r="D380" s="161"/>
      <c r="E380" s="4"/>
      <c r="F380" s="4"/>
      <c r="G380" s="4"/>
      <c r="H380" s="4"/>
      <c r="I380" s="4"/>
      <c r="J380" s="4"/>
      <c r="K380" s="4"/>
      <c r="L380" s="4"/>
      <c r="M380" s="4"/>
      <c r="N380" s="4"/>
      <c r="O380" s="4"/>
      <c r="P380" s="4"/>
      <c r="Q380" s="4"/>
      <c r="R380" s="4"/>
      <c r="S380" s="4"/>
      <c r="T380" s="4"/>
      <c r="U380" s="4"/>
      <c r="V380" s="4"/>
      <c r="W380" s="4"/>
      <c r="X380" s="4"/>
      <c r="Y380" s="4"/>
    </row>
    <row r="381" spans="1:25" ht="33.75" customHeight="1">
      <c r="A381" s="4"/>
      <c r="B381" s="5"/>
      <c r="C381" s="7"/>
      <c r="D381" s="161"/>
      <c r="E381" s="4"/>
      <c r="F381" s="4"/>
      <c r="G381" s="4"/>
      <c r="H381" s="4"/>
      <c r="I381" s="4"/>
      <c r="J381" s="4"/>
      <c r="K381" s="4"/>
      <c r="L381" s="4"/>
      <c r="M381" s="4"/>
      <c r="N381" s="4"/>
      <c r="O381" s="4"/>
      <c r="P381" s="4"/>
      <c r="Q381" s="4"/>
      <c r="R381" s="4"/>
      <c r="S381" s="4"/>
      <c r="T381" s="4"/>
      <c r="U381" s="4"/>
      <c r="V381" s="4"/>
      <c r="W381" s="4"/>
      <c r="X381" s="4"/>
      <c r="Y381" s="4"/>
    </row>
    <row r="382" spans="1:25" ht="15.75" customHeight="1">
      <c r="B382" s="16"/>
    </row>
    <row r="383" spans="1:25" ht="15.75" customHeight="1">
      <c r="B383" s="16"/>
    </row>
    <row r="384" spans="1:25" ht="15.75" customHeight="1">
      <c r="B384" s="16"/>
    </row>
    <row r="385" spans="2:2" ht="15.75" customHeight="1">
      <c r="B385" s="16"/>
    </row>
    <row r="386" spans="2:2" ht="15.75" customHeight="1">
      <c r="B386" s="16"/>
    </row>
    <row r="387" spans="2:2" ht="15.75" customHeight="1">
      <c r="B387" s="16"/>
    </row>
    <row r="388" spans="2:2" ht="15.75" customHeight="1">
      <c r="B388" s="16"/>
    </row>
    <row r="389" spans="2:2" ht="15.75" customHeight="1">
      <c r="B389" s="16"/>
    </row>
    <row r="390" spans="2:2" ht="15.75" customHeight="1">
      <c r="B390" s="16"/>
    </row>
    <row r="391" spans="2:2" ht="15.75" customHeight="1">
      <c r="B391" s="16"/>
    </row>
    <row r="392" spans="2:2" ht="15.75" customHeight="1">
      <c r="B392" s="16"/>
    </row>
    <row r="393" spans="2:2" ht="15.75" customHeight="1">
      <c r="B393" s="16"/>
    </row>
    <row r="394" spans="2:2" ht="15.75" customHeight="1">
      <c r="B394" s="16"/>
    </row>
    <row r="395" spans="2:2" ht="15.75" customHeight="1">
      <c r="B395" s="16"/>
    </row>
    <row r="396" spans="2:2" ht="15.75" customHeight="1">
      <c r="B396" s="16"/>
    </row>
    <row r="397" spans="2:2" ht="15.75" customHeight="1">
      <c r="B397" s="16"/>
    </row>
    <row r="398" spans="2:2" ht="15.75" customHeight="1">
      <c r="B398" s="16"/>
    </row>
    <row r="399" spans="2:2" ht="15.75" customHeight="1">
      <c r="B399" s="16"/>
    </row>
    <row r="400" spans="2:2" ht="15.75" customHeight="1">
      <c r="B400" s="16"/>
    </row>
    <row r="401" spans="2:2" ht="15.75" customHeight="1">
      <c r="B401" s="16"/>
    </row>
    <row r="402" spans="2:2" ht="15.75" customHeight="1">
      <c r="B402" s="16"/>
    </row>
    <row r="403" spans="2:2" ht="15.75" customHeight="1">
      <c r="B403" s="16"/>
    </row>
    <row r="404" spans="2:2" ht="15.75" customHeight="1">
      <c r="B404" s="16"/>
    </row>
    <row r="405" spans="2:2" ht="15.75" customHeight="1">
      <c r="B405" s="16"/>
    </row>
    <row r="406" spans="2:2" ht="15.75" customHeight="1">
      <c r="B406" s="16"/>
    </row>
    <row r="407" spans="2:2" ht="15.75" customHeight="1">
      <c r="B407" s="16"/>
    </row>
    <row r="408" spans="2:2" ht="15.75" customHeight="1">
      <c r="B408" s="16"/>
    </row>
    <row r="409" spans="2:2" ht="15.75" customHeight="1">
      <c r="B409" s="16"/>
    </row>
    <row r="410" spans="2:2" ht="15.75" customHeight="1">
      <c r="B410" s="16"/>
    </row>
    <row r="411" spans="2:2" ht="15.75" customHeight="1">
      <c r="B411" s="16"/>
    </row>
    <row r="412" spans="2:2" ht="15.75" customHeight="1">
      <c r="B412" s="16"/>
    </row>
    <row r="413" spans="2:2" ht="15.75" customHeight="1">
      <c r="B413" s="16"/>
    </row>
    <row r="414" spans="2:2" ht="15.75" customHeight="1">
      <c r="B414" s="16"/>
    </row>
    <row r="415" spans="2:2" ht="15.75" customHeight="1">
      <c r="B415" s="16"/>
    </row>
    <row r="416" spans="2:2" ht="15.75" customHeight="1">
      <c r="B416" s="16"/>
    </row>
    <row r="417" spans="2:2" ht="15.75" customHeight="1">
      <c r="B417" s="16"/>
    </row>
    <row r="418" spans="2:2" ht="15.75" customHeight="1">
      <c r="B418" s="16"/>
    </row>
    <row r="419" spans="2:2" ht="15.75" customHeight="1">
      <c r="B419" s="16"/>
    </row>
    <row r="420" spans="2:2" ht="15.75" customHeight="1">
      <c r="B420" s="16"/>
    </row>
    <row r="421" spans="2:2" ht="15.75" customHeight="1">
      <c r="B421" s="16"/>
    </row>
    <row r="422" spans="2:2" ht="15.75" customHeight="1">
      <c r="B422" s="16"/>
    </row>
    <row r="423" spans="2:2" ht="15.75" customHeight="1">
      <c r="B423" s="16"/>
    </row>
    <row r="424" spans="2:2" ht="15.75" customHeight="1">
      <c r="B424" s="16"/>
    </row>
    <row r="425" spans="2:2" ht="15.75" customHeight="1">
      <c r="B425" s="16"/>
    </row>
    <row r="426" spans="2:2" ht="15.75" customHeight="1">
      <c r="B426" s="16"/>
    </row>
    <row r="427" spans="2:2" ht="15.75" customHeight="1">
      <c r="B427" s="16"/>
    </row>
    <row r="428" spans="2:2" ht="15.75" customHeight="1">
      <c r="B428" s="16"/>
    </row>
    <row r="429" spans="2:2" ht="15.75" customHeight="1">
      <c r="B429" s="16"/>
    </row>
    <row r="430" spans="2:2" ht="15.75" customHeight="1">
      <c r="B430" s="16"/>
    </row>
    <row r="431" spans="2:2" ht="15.75" customHeight="1">
      <c r="B431" s="16"/>
    </row>
    <row r="432" spans="2:2" ht="15.75" customHeight="1">
      <c r="B432" s="16"/>
    </row>
    <row r="433" spans="2:2" ht="15.75" customHeight="1">
      <c r="B433" s="16"/>
    </row>
    <row r="434" spans="2:2" ht="15.75" customHeight="1">
      <c r="B434" s="16"/>
    </row>
    <row r="435" spans="2:2" ht="15.75" customHeight="1">
      <c r="B435" s="16"/>
    </row>
    <row r="436" spans="2:2" ht="15.75" customHeight="1">
      <c r="B436" s="16"/>
    </row>
    <row r="437" spans="2:2" ht="15.75" customHeight="1">
      <c r="B437" s="16"/>
    </row>
    <row r="438" spans="2:2" ht="15.75" customHeight="1">
      <c r="B438" s="16"/>
    </row>
    <row r="439" spans="2:2" ht="15.75" customHeight="1">
      <c r="B439" s="16"/>
    </row>
    <row r="440" spans="2:2" ht="15.75" customHeight="1">
      <c r="B440" s="16"/>
    </row>
    <row r="441" spans="2:2" ht="15.75" customHeight="1">
      <c r="B441" s="16"/>
    </row>
    <row r="442" spans="2:2" ht="15.75" customHeight="1">
      <c r="B442" s="16"/>
    </row>
    <row r="443" spans="2:2" ht="15.75" customHeight="1">
      <c r="B443" s="16"/>
    </row>
    <row r="444" spans="2:2" ht="15.75" customHeight="1">
      <c r="B444" s="16"/>
    </row>
    <row r="445" spans="2:2" ht="15.75" customHeight="1">
      <c r="B445" s="16"/>
    </row>
    <row r="446" spans="2:2" ht="15.75" customHeight="1">
      <c r="B446" s="16"/>
    </row>
    <row r="447" spans="2:2" ht="15.75" customHeight="1">
      <c r="B447" s="16"/>
    </row>
    <row r="448" spans="2:2" ht="15.75" customHeight="1">
      <c r="B448" s="16"/>
    </row>
    <row r="449" spans="2:2" ht="15.75" customHeight="1">
      <c r="B449" s="16"/>
    </row>
    <row r="450" spans="2:2" ht="15.75" customHeight="1">
      <c r="B450" s="16"/>
    </row>
    <row r="451" spans="2:2" ht="15.75" customHeight="1">
      <c r="B451" s="16"/>
    </row>
    <row r="452" spans="2:2" ht="15.75" customHeight="1">
      <c r="B452" s="16"/>
    </row>
    <row r="453" spans="2:2" ht="15.75" customHeight="1">
      <c r="B453" s="16"/>
    </row>
    <row r="454" spans="2:2" ht="15.75" customHeight="1">
      <c r="B454" s="16"/>
    </row>
    <row r="455" spans="2:2" ht="15.75" customHeight="1">
      <c r="B455" s="16"/>
    </row>
    <row r="456" spans="2:2" ht="15.75" customHeight="1">
      <c r="B456" s="16"/>
    </row>
    <row r="457" spans="2:2" ht="15.75" customHeight="1">
      <c r="B457" s="16"/>
    </row>
    <row r="458" spans="2:2" ht="15.75" customHeight="1">
      <c r="B458" s="16"/>
    </row>
    <row r="459" spans="2:2" ht="15.75" customHeight="1">
      <c r="B459" s="16"/>
    </row>
    <row r="460" spans="2:2" ht="15.75" customHeight="1">
      <c r="B460" s="16"/>
    </row>
    <row r="461" spans="2:2" ht="15.75" customHeight="1">
      <c r="B461" s="16"/>
    </row>
    <row r="462" spans="2:2" ht="15.75" customHeight="1">
      <c r="B462" s="16"/>
    </row>
    <row r="463" spans="2:2" ht="15.75" customHeight="1">
      <c r="B463" s="16"/>
    </row>
    <row r="464" spans="2:2" ht="15.75" customHeight="1">
      <c r="B464" s="16"/>
    </row>
    <row r="465" spans="2:2" ht="15.75" customHeight="1">
      <c r="B465" s="16"/>
    </row>
    <row r="466" spans="2:2" ht="15.75" customHeight="1">
      <c r="B466" s="16"/>
    </row>
    <row r="467" spans="2:2" ht="15.75" customHeight="1">
      <c r="B467" s="16"/>
    </row>
    <row r="468" spans="2:2" ht="15.75" customHeight="1">
      <c r="B468" s="16"/>
    </row>
    <row r="469" spans="2:2" ht="15.75" customHeight="1">
      <c r="B469" s="16"/>
    </row>
    <row r="470" spans="2:2" ht="15.75" customHeight="1">
      <c r="B470" s="16"/>
    </row>
    <row r="471" spans="2:2" ht="15.75" customHeight="1">
      <c r="B471" s="16"/>
    </row>
    <row r="472" spans="2:2" ht="15.75" customHeight="1">
      <c r="B472" s="16"/>
    </row>
    <row r="473" spans="2:2" ht="15.75" customHeight="1">
      <c r="B473" s="16"/>
    </row>
    <row r="474" spans="2:2" ht="15.75" customHeight="1">
      <c r="B474" s="16"/>
    </row>
    <row r="475" spans="2:2" ht="15.75" customHeight="1">
      <c r="B475" s="16"/>
    </row>
    <row r="476" spans="2:2" ht="15.75" customHeight="1">
      <c r="B476" s="16"/>
    </row>
    <row r="477" spans="2:2" ht="15.75" customHeight="1">
      <c r="B477" s="16"/>
    </row>
    <row r="478" spans="2:2" ht="15.75" customHeight="1">
      <c r="B478" s="16"/>
    </row>
    <row r="479" spans="2:2" ht="15.75" customHeight="1">
      <c r="B479" s="16"/>
    </row>
    <row r="480" spans="2:2" ht="15.75" customHeight="1">
      <c r="B480" s="16"/>
    </row>
    <row r="481" spans="2:2" ht="15.75" customHeight="1">
      <c r="B481" s="16"/>
    </row>
    <row r="482" spans="2:2" ht="15.75" customHeight="1">
      <c r="B482" s="16"/>
    </row>
    <row r="483" spans="2:2" ht="15.75" customHeight="1">
      <c r="B483" s="16"/>
    </row>
    <row r="484" spans="2:2" ht="15.75" customHeight="1">
      <c r="B484" s="16"/>
    </row>
    <row r="485" spans="2:2" ht="15.75" customHeight="1">
      <c r="B485" s="16"/>
    </row>
    <row r="486" spans="2:2" ht="15.75" customHeight="1">
      <c r="B486" s="16"/>
    </row>
    <row r="487" spans="2:2" ht="15.75" customHeight="1">
      <c r="B487" s="16"/>
    </row>
    <row r="488" spans="2:2" ht="15.75" customHeight="1">
      <c r="B488" s="16"/>
    </row>
    <row r="489" spans="2:2" ht="15.75" customHeight="1">
      <c r="B489" s="16"/>
    </row>
    <row r="490" spans="2:2" ht="15.75" customHeight="1">
      <c r="B490" s="16"/>
    </row>
    <row r="491" spans="2:2" ht="15.75" customHeight="1">
      <c r="B491" s="16"/>
    </row>
    <row r="492" spans="2:2" ht="15.75" customHeight="1">
      <c r="B492" s="16"/>
    </row>
    <row r="493" spans="2:2" ht="15.75" customHeight="1">
      <c r="B493" s="16"/>
    </row>
    <row r="494" spans="2:2" ht="15.75" customHeight="1">
      <c r="B494" s="16"/>
    </row>
    <row r="495" spans="2:2" ht="15.75" customHeight="1">
      <c r="B495" s="16"/>
    </row>
    <row r="496" spans="2:2" ht="15.75" customHeight="1">
      <c r="B496" s="16"/>
    </row>
    <row r="497" spans="2:2" ht="15.75" customHeight="1">
      <c r="B497" s="16"/>
    </row>
    <row r="498" spans="2:2" ht="15.75" customHeight="1">
      <c r="B498" s="16"/>
    </row>
    <row r="499" spans="2:2" ht="15.75" customHeight="1">
      <c r="B499" s="16"/>
    </row>
    <row r="500" spans="2:2" ht="15.75" customHeight="1">
      <c r="B500" s="16"/>
    </row>
    <row r="501" spans="2:2" ht="15.75" customHeight="1">
      <c r="B501" s="16"/>
    </row>
    <row r="502" spans="2:2" ht="15.75" customHeight="1">
      <c r="B502" s="16"/>
    </row>
    <row r="503" spans="2:2" ht="15.75" customHeight="1">
      <c r="B503" s="16"/>
    </row>
    <row r="504" spans="2:2" ht="15.75" customHeight="1">
      <c r="B504" s="16"/>
    </row>
    <row r="505" spans="2:2" ht="15.75" customHeight="1">
      <c r="B505" s="16"/>
    </row>
    <row r="506" spans="2:2" ht="15.75" customHeight="1">
      <c r="B506" s="16"/>
    </row>
    <row r="507" spans="2:2" ht="15.75" customHeight="1">
      <c r="B507" s="16"/>
    </row>
    <row r="508" spans="2:2" ht="15.75" customHeight="1">
      <c r="B508" s="16"/>
    </row>
    <row r="509" spans="2:2" ht="15.75" customHeight="1">
      <c r="B509" s="16"/>
    </row>
    <row r="510" spans="2:2" ht="15.75" customHeight="1">
      <c r="B510" s="16"/>
    </row>
    <row r="511" spans="2:2" ht="15.75" customHeight="1">
      <c r="B511" s="16"/>
    </row>
    <row r="512" spans="2:2" ht="15.75" customHeight="1">
      <c r="B512" s="16"/>
    </row>
    <row r="513" spans="2:2" ht="15.75" customHeight="1">
      <c r="B513" s="16"/>
    </row>
    <row r="514" spans="2:2" ht="15.75" customHeight="1">
      <c r="B514" s="16"/>
    </row>
    <row r="515" spans="2:2" ht="15.75" customHeight="1">
      <c r="B515" s="16"/>
    </row>
    <row r="516" spans="2:2" ht="15.75" customHeight="1">
      <c r="B516" s="16"/>
    </row>
    <row r="517" spans="2:2" ht="15.75" customHeight="1">
      <c r="B517" s="16"/>
    </row>
    <row r="518" spans="2:2" ht="15.75" customHeight="1">
      <c r="B518" s="16"/>
    </row>
    <row r="519" spans="2:2" ht="15.75" customHeight="1">
      <c r="B519" s="16"/>
    </row>
    <row r="520" spans="2:2" ht="15.75" customHeight="1">
      <c r="B520" s="16"/>
    </row>
    <row r="521" spans="2:2" ht="15.75" customHeight="1">
      <c r="B521" s="16"/>
    </row>
    <row r="522" spans="2:2" ht="15.75" customHeight="1">
      <c r="B522" s="16"/>
    </row>
    <row r="523" spans="2:2" ht="15.75" customHeight="1">
      <c r="B523" s="16"/>
    </row>
    <row r="524" spans="2:2" ht="15.75" customHeight="1">
      <c r="B524" s="16"/>
    </row>
    <row r="525" spans="2:2" ht="15.75" customHeight="1">
      <c r="B525" s="16"/>
    </row>
    <row r="526" spans="2:2" ht="15.75" customHeight="1">
      <c r="B526" s="16"/>
    </row>
    <row r="527" spans="2:2" ht="15.75" customHeight="1">
      <c r="B527" s="16"/>
    </row>
    <row r="528" spans="2:2" ht="15.75" customHeight="1">
      <c r="B528" s="16"/>
    </row>
    <row r="529" spans="2:2" ht="15.75" customHeight="1">
      <c r="B529" s="16"/>
    </row>
    <row r="530" spans="2:2" ht="15.75" customHeight="1">
      <c r="B530" s="16"/>
    </row>
    <row r="531" spans="2:2" ht="15.75" customHeight="1">
      <c r="B531" s="16"/>
    </row>
    <row r="532" spans="2:2" ht="15.75" customHeight="1">
      <c r="B532" s="16"/>
    </row>
    <row r="533" spans="2:2" ht="15.75" customHeight="1">
      <c r="B533" s="16"/>
    </row>
    <row r="534" spans="2:2" ht="15.75" customHeight="1">
      <c r="B534" s="16"/>
    </row>
    <row r="535" spans="2:2" ht="15.75" customHeight="1">
      <c r="B535" s="16"/>
    </row>
    <row r="536" spans="2:2" ht="15.75" customHeight="1">
      <c r="B536" s="16"/>
    </row>
    <row r="537" spans="2:2" ht="15.75" customHeight="1">
      <c r="B537" s="16"/>
    </row>
    <row r="538" spans="2:2" ht="15.75" customHeight="1">
      <c r="B538" s="16"/>
    </row>
    <row r="539" spans="2:2" ht="15.75" customHeight="1">
      <c r="B539" s="16"/>
    </row>
    <row r="540" spans="2:2" ht="15.75" customHeight="1">
      <c r="B540" s="16"/>
    </row>
    <row r="541" spans="2:2" ht="15.75" customHeight="1">
      <c r="B541" s="16"/>
    </row>
    <row r="542" spans="2:2" ht="15.75" customHeight="1">
      <c r="B542" s="16"/>
    </row>
    <row r="543" spans="2:2" ht="15.75" customHeight="1">
      <c r="B543" s="16"/>
    </row>
    <row r="544" spans="2:2" ht="15.75" customHeight="1">
      <c r="B544" s="16"/>
    </row>
    <row r="545" spans="2:2" ht="15.75" customHeight="1">
      <c r="B545" s="16"/>
    </row>
    <row r="546" spans="2:2" ht="15.75" customHeight="1">
      <c r="B546" s="16"/>
    </row>
    <row r="547" spans="2:2" ht="15.75" customHeight="1">
      <c r="B547" s="16"/>
    </row>
    <row r="548" spans="2:2" ht="15.75" customHeight="1">
      <c r="B548" s="16"/>
    </row>
    <row r="549" spans="2:2" ht="15.75" customHeight="1">
      <c r="B549" s="16"/>
    </row>
    <row r="550" spans="2:2" ht="15.75" customHeight="1">
      <c r="B550" s="16"/>
    </row>
    <row r="551" spans="2:2" ht="15.75" customHeight="1">
      <c r="B551" s="16"/>
    </row>
    <row r="552" spans="2:2" ht="15.75" customHeight="1">
      <c r="B552" s="16"/>
    </row>
    <row r="553" spans="2:2" ht="15.75" customHeight="1">
      <c r="B553" s="16"/>
    </row>
    <row r="554" spans="2:2" ht="15.75" customHeight="1">
      <c r="B554" s="16"/>
    </row>
    <row r="555" spans="2:2" ht="15.75" customHeight="1">
      <c r="B555" s="16"/>
    </row>
    <row r="556" spans="2:2" ht="15.75" customHeight="1">
      <c r="B556" s="16"/>
    </row>
    <row r="557" spans="2:2" ht="15.75" customHeight="1">
      <c r="B557" s="16"/>
    </row>
    <row r="558" spans="2:2" ht="15.75" customHeight="1">
      <c r="B558" s="16"/>
    </row>
    <row r="559" spans="2:2" ht="15.75" customHeight="1">
      <c r="B559" s="16"/>
    </row>
    <row r="560" spans="2:2" ht="15.75" customHeight="1">
      <c r="B560" s="16"/>
    </row>
    <row r="561" spans="2:2" ht="15.75" customHeight="1">
      <c r="B561" s="16"/>
    </row>
    <row r="562" spans="2:2" ht="15.75" customHeight="1">
      <c r="B562" s="16"/>
    </row>
    <row r="563" spans="2:2" ht="15.75" customHeight="1">
      <c r="B563" s="16"/>
    </row>
    <row r="564" spans="2:2" ht="15.75" customHeight="1">
      <c r="B564" s="16"/>
    </row>
    <row r="565" spans="2:2" ht="15.75" customHeight="1">
      <c r="B565" s="16"/>
    </row>
    <row r="566" spans="2:2" ht="15.75" customHeight="1">
      <c r="B566" s="16"/>
    </row>
    <row r="567" spans="2:2" ht="15.75" customHeight="1">
      <c r="B567" s="16"/>
    </row>
    <row r="568" spans="2:2" ht="15.75" customHeight="1">
      <c r="B568" s="16"/>
    </row>
    <row r="569" spans="2:2" ht="15.75" customHeight="1">
      <c r="B569" s="16"/>
    </row>
    <row r="570" spans="2:2" ht="15.75" customHeight="1">
      <c r="B570" s="16"/>
    </row>
    <row r="571" spans="2:2" ht="15.75" customHeight="1">
      <c r="B571" s="16"/>
    </row>
    <row r="572" spans="2:2" ht="15.75" customHeight="1">
      <c r="B572" s="16"/>
    </row>
    <row r="573" spans="2:2" ht="15.75" customHeight="1">
      <c r="B573" s="16"/>
    </row>
    <row r="574" spans="2:2" ht="15.75" customHeight="1">
      <c r="B574" s="16"/>
    </row>
    <row r="575" spans="2:2" ht="15.75" customHeight="1">
      <c r="B575" s="16"/>
    </row>
    <row r="576" spans="2:2" ht="15.75" customHeight="1">
      <c r="B576" s="16"/>
    </row>
    <row r="577" spans="2:2" ht="15.75" customHeight="1">
      <c r="B577" s="16"/>
    </row>
    <row r="578" spans="2:2" ht="15.75" customHeight="1">
      <c r="B578" s="16"/>
    </row>
    <row r="579" spans="2:2" ht="15.75" customHeight="1">
      <c r="B579" s="16"/>
    </row>
    <row r="580" spans="2:2" ht="15.75" customHeight="1">
      <c r="B580" s="16"/>
    </row>
    <row r="581" spans="2:2" ht="15.75" customHeight="1">
      <c r="B581" s="16"/>
    </row>
    <row r="582" spans="2:2" ht="15.75" customHeight="1">
      <c r="B582" s="16"/>
    </row>
    <row r="583" spans="2:2" ht="15.75" customHeight="1">
      <c r="B583" s="16"/>
    </row>
    <row r="584" spans="2:2" ht="15.75" customHeight="1">
      <c r="B584" s="16"/>
    </row>
    <row r="585" spans="2:2" ht="15.75" customHeight="1">
      <c r="B585" s="16"/>
    </row>
    <row r="586" spans="2:2" ht="15.75" customHeight="1">
      <c r="B586" s="16"/>
    </row>
    <row r="587" spans="2:2" ht="15.75" customHeight="1">
      <c r="B587" s="16"/>
    </row>
    <row r="588" spans="2:2" ht="15.75" customHeight="1">
      <c r="B588" s="16"/>
    </row>
    <row r="589" spans="2:2" ht="15.75" customHeight="1">
      <c r="B589" s="16"/>
    </row>
    <row r="590" spans="2:2" ht="15.75" customHeight="1">
      <c r="B590" s="16"/>
    </row>
    <row r="591" spans="2:2" ht="15.75" customHeight="1">
      <c r="B591" s="16"/>
    </row>
    <row r="592" spans="2:2" ht="15.75" customHeight="1">
      <c r="B592" s="16"/>
    </row>
    <row r="593" spans="2:2" ht="15.75" customHeight="1">
      <c r="B593" s="16"/>
    </row>
    <row r="594" spans="2:2" ht="15.75" customHeight="1">
      <c r="B594" s="16"/>
    </row>
    <row r="595" spans="2:2" ht="15.75" customHeight="1">
      <c r="B595" s="16"/>
    </row>
    <row r="596" spans="2:2" ht="15.75" customHeight="1">
      <c r="B596" s="16"/>
    </row>
    <row r="597" spans="2:2" ht="15.75" customHeight="1">
      <c r="B597" s="16"/>
    </row>
    <row r="598" spans="2:2" ht="15.75" customHeight="1">
      <c r="B598" s="16"/>
    </row>
    <row r="599" spans="2:2" ht="15.75" customHeight="1">
      <c r="B599" s="16"/>
    </row>
    <row r="600" spans="2:2" ht="15.75" customHeight="1">
      <c r="B600" s="16"/>
    </row>
    <row r="601" spans="2:2" ht="15.75" customHeight="1">
      <c r="B601" s="16"/>
    </row>
    <row r="602" spans="2:2" ht="15.75" customHeight="1">
      <c r="B602" s="16"/>
    </row>
    <row r="603" spans="2:2" ht="15.75" customHeight="1">
      <c r="B603" s="16"/>
    </row>
    <row r="604" spans="2:2" ht="15.75" customHeight="1">
      <c r="B604" s="16"/>
    </row>
    <row r="605" spans="2:2" ht="15.75" customHeight="1">
      <c r="B605" s="16"/>
    </row>
    <row r="606" spans="2:2" ht="15.75" customHeight="1">
      <c r="B606" s="16"/>
    </row>
    <row r="607" spans="2:2" ht="15.75" customHeight="1">
      <c r="B607" s="16"/>
    </row>
    <row r="608" spans="2:2" ht="15.75" customHeight="1">
      <c r="B608" s="16"/>
    </row>
    <row r="609" spans="2:2" ht="15.75" customHeight="1">
      <c r="B609" s="16"/>
    </row>
    <row r="610" spans="2:2" ht="15.75" customHeight="1">
      <c r="B610" s="16"/>
    </row>
    <row r="611" spans="2:2" ht="15.75" customHeight="1">
      <c r="B611" s="16"/>
    </row>
    <row r="612" spans="2:2" ht="15.75" customHeight="1">
      <c r="B612" s="16"/>
    </row>
    <row r="613" spans="2:2" ht="15.75" customHeight="1">
      <c r="B613" s="16"/>
    </row>
    <row r="614" spans="2:2" ht="15.75" customHeight="1">
      <c r="B614" s="16"/>
    </row>
    <row r="615" spans="2:2" ht="15.75" customHeight="1">
      <c r="B615" s="16"/>
    </row>
    <row r="616" spans="2:2" ht="15.75" customHeight="1">
      <c r="B616" s="16"/>
    </row>
    <row r="617" spans="2:2" ht="15.75" customHeight="1">
      <c r="B617" s="16"/>
    </row>
    <row r="618" spans="2:2" ht="15.75" customHeight="1">
      <c r="B618" s="16"/>
    </row>
    <row r="619" spans="2:2" ht="15.75" customHeight="1">
      <c r="B619" s="16"/>
    </row>
    <row r="620" spans="2:2" ht="15.75" customHeight="1">
      <c r="B620" s="16"/>
    </row>
    <row r="621" spans="2:2" ht="15.75" customHeight="1">
      <c r="B621" s="16"/>
    </row>
    <row r="622" spans="2:2" ht="15.75" customHeight="1">
      <c r="B622" s="16"/>
    </row>
    <row r="623" spans="2:2" ht="15.75" customHeight="1">
      <c r="B623" s="16"/>
    </row>
    <row r="624" spans="2:2" ht="15.75" customHeight="1">
      <c r="B624" s="16"/>
    </row>
    <row r="625" spans="2:2" ht="15.75" customHeight="1">
      <c r="B625" s="16"/>
    </row>
    <row r="626" spans="2:2" ht="15.75" customHeight="1">
      <c r="B626" s="16"/>
    </row>
    <row r="627" spans="2:2" ht="15.75" customHeight="1">
      <c r="B627" s="16"/>
    </row>
    <row r="628" spans="2:2" ht="15.75" customHeight="1">
      <c r="B628" s="16"/>
    </row>
    <row r="629" spans="2:2" ht="15.75" customHeight="1">
      <c r="B629" s="16"/>
    </row>
    <row r="630" spans="2:2" ht="15.75" customHeight="1">
      <c r="B630" s="16"/>
    </row>
    <row r="631" spans="2:2" ht="15.75" customHeight="1">
      <c r="B631" s="16"/>
    </row>
    <row r="632" spans="2:2" ht="15.75" customHeight="1">
      <c r="B632" s="16"/>
    </row>
    <row r="633" spans="2:2" ht="15.75" customHeight="1">
      <c r="B633" s="16"/>
    </row>
    <row r="634" spans="2:2" ht="15.75" customHeight="1">
      <c r="B634" s="16"/>
    </row>
    <row r="635" spans="2:2" ht="15.75" customHeight="1">
      <c r="B635" s="16"/>
    </row>
    <row r="636" spans="2:2" ht="15.75" customHeight="1">
      <c r="B636" s="16"/>
    </row>
    <row r="637" spans="2:2" ht="15.75" customHeight="1">
      <c r="B637" s="16"/>
    </row>
    <row r="638" spans="2:2" ht="15.75" customHeight="1">
      <c r="B638" s="16"/>
    </row>
    <row r="639" spans="2:2" ht="15.75" customHeight="1">
      <c r="B639" s="16"/>
    </row>
    <row r="640" spans="2:2" ht="15.75" customHeight="1">
      <c r="B640" s="16"/>
    </row>
    <row r="641" spans="2:2" ht="15.75" customHeight="1">
      <c r="B641" s="16"/>
    </row>
    <row r="642" spans="2:2" ht="15.75" customHeight="1">
      <c r="B642" s="16"/>
    </row>
    <row r="643" spans="2:2" ht="15.75" customHeight="1">
      <c r="B643" s="16"/>
    </row>
    <row r="644" spans="2:2" ht="15.75" customHeight="1">
      <c r="B644" s="16"/>
    </row>
    <row r="645" spans="2:2" ht="15.75" customHeight="1">
      <c r="B645" s="16"/>
    </row>
    <row r="646" spans="2:2" ht="15.75" customHeight="1">
      <c r="B646" s="16"/>
    </row>
    <row r="647" spans="2:2" ht="15.75" customHeight="1">
      <c r="B647" s="16"/>
    </row>
    <row r="648" spans="2:2" ht="15.75" customHeight="1">
      <c r="B648" s="16"/>
    </row>
    <row r="649" spans="2:2" ht="15.75" customHeight="1">
      <c r="B649" s="16"/>
    </row>
    <row r="650" spans="2:2" ht="15.75" customHeight="1">
      <c r="B650" s="16"/>
    </row>
    <row r="651" spans="2:2" ht="15.75" customHeight="1">
      <c r="B651" s="16"/>
    </row>
    <row r="652" spans="2:2" ht="15.75" customHeight="1">
      <c r="B652" s="16"/>
    </row>
    <row r="653" spans="2:2" ht="15.75" customHeight="1">
      <c r="B653" s="16"/>
    </row>
    <row r="654" spans="2:2" ht="15.75" customHeight="1">
      <c r="B654" s="16"/>
    </row>
    <row r="655" spans="2:2" ht="15.75" customHeight="1">
      <c r="B655" s="16"/>
    </row>
    <row r="656" spans="2:2" ht="15.75" customHeight="1">
      <c r="B656" s="16"/>
    </row>
    <row r="657" spans="2:2" ht="15.75" customHeight="1">
      <c r="B657" s="16"/>
    </row>
    <row r="658" spans="2:2" ht="15.75" customHeight="1">
      <c r="B658" s="16"/>
    </row>
    <row r="659" spans="2:2" ht="15.75" customHeight="1">
      <c r="B659" s="16"/>
    </row>
    <row r="660" spans="2:2" ht="15.75" customHeight="1">
      <c r="B660" s="16"/>
    </row>
    <row r="661" spans="2:2" ht="15.75" customHeight="1">
      <c r="B661" s="16"/>
    </row>
    <row r="662" spans="2:2" ht="15.75" customHeight="1">
      <c r="B662" s="16"/>
    </row>
    <row r="663" spans="2:2" ht="15.75" customHeight="1">
      <c r="B663" s="16"/>
    </row>
    <row r="664" spans="2:2" ht="15.75" customHeight="1">
      <c r="B664" s="16"/>
    </row>
    <row r="665" spans="2:2" ht="15.75" customHeight="1">
      <c r="B665" s="16"/>
    </row>
    <row r="666" spans="2:2" ht="15.75" customHeight="1">
      <c r="B666" s="16"/>
    </row>
    <row r="667" spans="2:2" ht="15.75" customHeight="1">
      <c r="B667" s="16"/>
    </row>
    <row r="668" spans="2:2" ht="15.75" customHeight="1">
      <c r="B668" s="16"/>
    </row>
    <row r="669" spans="2:2" ht="15.75" customHeight="1">
      <c r="B669" s="16"/>
    </row>
    <row r="670" spans="2:2" ht="15.75" customHeight="1">
      <c r="B670" s="16"/>
    </row>
    <row r="671" spans="2:2" ht="15.75" customHeight="1">
      <c r="B671" s="16"/>
    </row>
    <row r="672" spans="2:2" ht="15.75" customHeight="1">
      <c r="B672" s="16"/>
    </row>
    <row r="673" spans="2:2" ht="15.75" customHeight="1">
      <c r="B673" s="16"/>
    </row>
    <row r="674" spans="2:2" ht="15.75" customHeight="1">
      <c r="B674" s="16"/>
    </row>
    <row r="675" spans="2:2" ht="15.75" customHeight="1">
      <c r="B675" s="16"/>
    </row>
    <row r="676" spans="2:2" ht="15.75" customHeight="1">
      <c r="B676" s="16"/>
    </row>
    <row r="677" spans="2:2" ht="15.75" customHeight="1">
      <c r="B677" s="16"/>
    </row>
    <row r="678" spans="2:2" ht="15.75" customHeight="1">
      <c r="B678" s="16"/>
    </row>
    <row r="679" spans="2:2" ht="15.75" customHeight="1">
      <c r="B679" s="16"/>
    </row>
    <row r="680" spans="2:2" ht="15.75" customHeight="1">
      <c r="B680" s="16"/>
    </row>
    <row r="681" spans="2:2" ht="15.75" customHeight="1">
      <c r="B681" s="16"/>
    </row>
    <row r="682" spans="2:2" ht="15.75" customHeight="1">
      <c r="B682" s="16"/>
    </row>
    <row r="683" spans="2:2" ht="15.75" customHeight="1">
      <c r="B683" s="16"/>
    </row>
    <row r="684" spans="2:2" ht="15.75" customHeight="1">
      <c r="B684" s="16"/>
    </row>
    <row r="685" spans="2:2" ht="15.75" customHeight="1">
      <c r="B685" s="16"/>
    </row>
    <row r="686" spans="2:2" ht="15.75" customHeight="1">
      <c r="B686" s="16"/>
    </row>
    <row r="687" spans="2:2" ht="15.75" customHeight="1">
      <c r="B687" s="16"/>
    </row>
    <row r="688" spans="2:2" ht="15.75" customHeight="1">
      <c r="B688" s="16"/>
    </row>
    <row r="689" spans="2:2" ht="15.75" customHeight="1">
      <c r="B689" s="16"/>
    </row>
    <row r="690" spans="2:2" ht="15.75" customHeight="1">
      <c r="B690" s="16"/>
    </row>
    <row r="691" spans="2:2" ht="15.75" customHeight="1">
      <c r="B691" s="16"/>
    </row>
    <row r="692" spans="2:2" ht="15.75" customHeight="1">
      <c r="B692" s="16"/>
    </row>
    <row r="693" spans="2:2" ht="15.75" customHeight="1">
      <c r="B693" s="16"/>
    </row>
    <row r="694" spans="2:2" ht="15.75" customHeight="1">
      <c r="B694" s="16"/>
    </row>
    <row r="695" spans="2:2" ht="15.75" customHeight="1">
      <c r="B695" s="16"/>
    </row>
    <row r="696" spans="2:2" ht="15.75" customHeight="1">
      <c r="B696" s="16"/>
    </row>
    <row r="697" spans="2:2" ht="15.75" customHeight="1">
      <c r="B697" s="16"/>
    </row>
    <row r="698" spans="2:2" ht="15.75" customHeight="1">
      <c r="B698" s="16"/>
    </row>
    <row r="699" spans="2:2" ht="15.75" customHeight="1">
      <c r="B699" s="16"/>
    </row>
    <row r="700" spans="2:2" ht="15.75" customHeight="1">
      <c r="B700" s="16"/>
    </row>
    <row r="701" spans="2:2" ht="15.75" customHeight="1">
      <c r="B701" s="16"/>
    </row>
    <row r="702" spans="2:2" ht="15.75" customHeight="1">
      <c r="B702" s="16"/>
    </row>
    <row r="703" spans="2:2" ht="15.75" customHeight="1">
      <c r="B703" s="16"/>
    </row>
    <row r="704" spans="2:2" ht="15.75" customHeight="1">
      <c r="B704" s="16"/>
    </row>
    <row r="705" spans="2:2" ht="15.75" customHeight="1">
      <c r="B705" s="16"/>
    </row>
    <row r="706" spans="2:2" ht="15.75" customHeight="1">
      <c r="B706" s="16"/>
    </row>
    <row r="707" spans="2:2" ht="15.75" customHeight="1">
      <c r="B707" s="16"/>
    </row>
    <row r="708" spans="2:2" ht="15.75" customHeight="1">
      <c r="B708" s="16"/>
    </row>
    <row r="709" spans="2:2" ht="15.75" customHeight="1">
      <c r="B709" s="16"/>
    </row>
    <row r="710" spans="2:2" ht="15.75" customHeight="1">
      <c r="B710" s="16"/>
    </row>
    <row r="711" spans="2:2" ht="15.75" customHeight="1">
      <c r="B711" s="16"/>
    </row>
    <row r="712" spans="2:2" ht="15.75" customHeight="1">
      <c r="B712" s="16"/>
    </row>
    <row r="713" spans="2:2" ht="15.75" customHeight="1">
      <c r="B713" s="16"/>
    </row>
    <row r="714" spans="2:2" ht="15.75" customHeight="1">
      <c r="B714" s="16"/>
    </row>
    <row r="715" spans="2:2" ht="15.75" customHeight="1">
      <c r="B715" s="16"/>
    </row>
    <row r="716" spans="2:2" ht="15.75" customHeight="1">
      <c r="B716" s="16"/>
    </row>
    <row r="717" spans="2:2" ht="15.75" customHeight="1">
      <c r="B717" s="16"/>
    </row>
    <row r="718" spans="2:2" ht="15.75" customHeight="1">
      <c r="B718" s="16"/>
    </row>
    <row r="719" spans="2:2" ht="15.75" customHeight="1">
      <c r="B719" s="16"/>
    </row>
    <row r="720" spans="2:2" ht="15.75" customHeight="1">
      <c r="B720" s="16"/>
    </row>
    <row r="721" spans="2:2" ht="15.75" customHeight="1">
      <c r="B721" s="16"/>
    </row>
    <row r="722" spans="2:2" ht="15.75" customHeight="1">
      <c r="B722" s="16"/>
    </row>
    <row r="723" spans="2:2" ht="15.75" customHeight="1">
      <c r="B723" s="16"/>
    </row>
    <row r="724" spans="2:2" ht="15.75" customHeight="1">
      <c r="B724" s="16"/>
    </row>
    <row r="725" spans="2:2" ht="15.75" customHeight="1">
      <c r="B725" s="16"/>
    </row>
    <row r="726" spans="2:2" ht="15.75" customHeight="1">
      <c r="B726" s="16"/>
    </row>
    <row r="727" spans="2:2" ht="15.75" customHeight="1">
      <c r="B727" s="16"/>
    </row>
    <row r="728" spans="2:2" ht="15.75" customHeight="1">
      <c r="B728" s="16"/>
    </row>
    <row r="729" spans="2:2" ht="15.75" customHeight="1">
      <c r="B729" s="16"/>
    </row>
    <row r="730" spans="2:2" ht="15.75" customHeight="1">
      <c r="B730" s="16"/>
    </row>
    <row r="731" spans="2:2" ht="15.75" customHeight="1">
      <c r="B731" s="16"/>
    </row>
    <row r="732" spans="2:2" ht="15.75" customHeight="1">
      <c r="B732" s="16"/>
    </row>
    <row r="733" spans="2:2" ht="15.75" customHeight="1">
      <c r="B733" s="16"/>
    </row>
    <row r="734" spans="2:2" ht="15.75" customHeight="1">
      <c r="B734" s="16"/>
    </row>
    <row r="735" spans="2:2" ht="15.75" customHeight="1">
      <c r="B735" s="16"/>
    </row>
    <row r="736" spans="2:2" ht="15.75" customHeight="1">
      <c r="B736" s="16"/>
    </row>
    <row r="737" spans="2:2" ht="15.75" customHeight="1">
      <c r="B737" s="16"/>
    </row>
    <row r="738" spans="2:2" ht="15.75" customHeight="1">
      <c r="B738" s="16"/>
    </row>
    <row r="739" spans="2:2" ht="15.75" customHeight="1">
      <c r="B739" s="16"/>
    </row>
    <row r="740" spans="2:2" ht="15.75" customHeight="1">
      <c r="B740" s="16"/>
    </row>
    <row r="741" spans="2:2" ht="15.75" customHeight="1">
      <c r="B741" s="16"/>
    </row>
    <row r="742" spans="2:2" ht="15.75" customHeight="1">
      <c r="B742" s="16"/>
    </row>
    <row r="743" spans="2:2" ht="15.75" customHeight="1">
      <c r="B743" s="16"/>
    </row>
    <row r="744" spans="2:2" ht="15.75" customHeight="1">
      <c r="B744" s="16"/>
    </row>
    <row r="745" spans="2:2" ht="15.75" customHeight="1">
      <c r="B745" s="16"/>
    </row>
    <row r="746" spans="2:2" ht="15.75" customHeight="1">
      <c r="B746" s="16"/>
    </row>
    <row r="747" spans="2:2" ht="15.75" customHeight="1">
      <c r="B747" s="16"/>
    </row>
    <row r="748" spans="2:2" ht="15.75" customHeight="1">
      <c r="B748" s="16"/>
    </row>
    <row r="749" spans="2:2" ht="15.75" customHeight="1">
      <c r="B749" s="16"/>
    </row>
    <row r="750" spans="2:2" ht="15.75" customHeight="1">
      <c r="B750" s="16"/>
    </row>
    <row r="751" spans="2:2" ht="15.75" customHeight="1">
      <c r="B751" s="16"/>
    </row>
    <row r="752" spans="2:2" ht="15.75" customHeight="1">
      <c r="B752" s="16"/>
    </row>
    <row r="753" spans="2:2" ht="15.75" customHeight="1">
      <c r="B753" s="16"/>
    </row>
    <row r="754" spans="2:2" ht="15.75" customHeight="1">
      <c r="B754" s="16"/>
    </row>
    <row r="755" spans="2:2" ht="15.75" customHeight="1">
      <c r="B755" s="16"/>
    </row>
    <row r="756" spans="2:2" ht="15.75" customHeight="1">
      <c r="B756" s="16"/>
    </row>
    <row r="757" spans="2:2" ht="15.75" customHeight="1">
      <c r="B757" s="16"/>
    </row>
    <row r="758" spans="2:2" ht="15.75" customHeight="1">
      <c r="B758" s="16"/>
    </row>
    <row r="759" spans="2:2" ht="15.75" customHeight="1">
      <c r="B759" s="16"/>
    </row>
    <row r="760" spans="2:2" ht="15.75" customHeight="1">
      <c r="B760" s="16"/>
    </row>
    <row r="761" spans="2:2" ht="15.75" customHeight="1">
      <c r="B761" s="16"/>
    </row>
    <row r="762" spans="2:2" ht="15.75" customHeight="1">
      <c r="B762" s="16"/>
    </row>
    <row r="763" spans="2:2" ht="15.75" customHeight="1">
      <c r="B763" s="16"/>
    </row>
    <row r="764" spans="2:2" ht="15.75" customHeight="1">
      <c r="B764" s="16"/>
    </row>
    <row r="765" spans="2:2" ht="15.75" customHeight="1">
      <c r="B765" s="16"/>
    </row>
    <row r="766" spans="2:2" ht="15.75" customHeight="1">
      <c r="B766" s="16"/>
    </row>
    <row r="767" spans="2:2" ht="15.75" customHeight="1">
      <c r="B767" s="16"/>
    </row>
    <row r="768" spans="2:2" ht="15.75" customHeight="1">
      <c r="B768" s="16"/>
    </row>
    <row r="769" spans="2:2" ht="15.75" customHeight="1">
      <c r="B769" s="16"/>
    </row>
    <row r="770" spans="2:2" ht="15.75" customHeight="1">
      <c r="B770" s="16"/>
    </row>
    <row r="771" spans="2:2" ht="15.75" customHeight="1">
      <c r="B771" s="16"/>
    </row>
    <row r="772" spans="2:2" ht="15.75" customHeight="1">
      <c r="B772" s="16"/>
    </row>
    <row r="773" spans="2:2" ht="15.75" customHeight="1">
      <c r="B773" s="16"/>
    </row>
    <row r="774" spans="2:2" ht="15.75" customHeight="1">
      <c r="B774" s="16"/>
    </row>
    <row r="775" spans="2:2" ht="15.75" customHeight="1">
      <c r="B775" s="16"/>
    </row>
    <row r="776" spans="2:2" ht="15.75" customHeight="1">
      <c r="B776" s="16"/>
    </row>
    <row r="777" spans="2:2" ht="15.75" customHeight="1">
      <c r="B777" s="16"/>
    </row>
    <row r="778" spans="2:2" ht="15.75" customHeight="1">
      <c r="B778" s="16"/>
    </row>
    <row r="779" spans="2:2" ht="15.75" customHeight="1">
      <c r="B779" s="16"/>
    </row>
    <row r="780" spans="2:2" ht="15.75" customHeight="1">
      <c r="B780" s="16"/>
    </row>
    <row r="781" spans="2:2" ht="15.75" customHeight="1">
      <c r="B781" s="16"/>
    </row>
    <row r="782" spans="2:2" ht="15.75" customHeight="1">
      <c r="B782" s="16"/>
    </row>
    <row r="783" spans="2:2" ht="15.75" customHeight="1">
      <c r="B783" s="16"/>
    </row>
    <row r="784" spans="2:2" ht="15.75" customHeight="1">
      <c r="B784" s="16"/>
    </row>
    <row r="785" spans="2:2" ht="15.75" customHeight="1">
      <c r="B785" s="16"/>
    </row>
    <row r="786" spans="2:2" ht="15.75" customHeight="1">
      <c r="B786" s="16"/>
    </row>
    <row r="787" spans="2:2" ht="15.75" customHeight="1">
      <c r="B787" s="16"/>
    </row>
    <row r="788" spans="2:2" ht="15.75" customHeight="1">
      <c r="B788" s="16"/>
    </row>
    <row r="789" spans="2:2" ht="15.75" customHeight="1">
      <c r="B789" s="16"/>
    </row>
    <row r="790" spans="2:2" ht="15.75" customHeight="1">
      <c r="B790" s="16"/>
    </row>
    <row r="791" spans="2:2" ht="15.75" customHeight="1">
      <c r="B791" s="16"/>
    </row>
    <row r="792" spans="2:2" ht="15.75" customHeight="1">
      <c r="B792" s="16"/>
    </row>
    <row r="793" spans="2:2" ht="15.75" customHeight="1">
      <c r="B793" s="16"/>
    </row>
    <row r="794" spans="2:2" ht="15.75" customHeight="1">
      <c r="B794" s="16"/>
    </row>
    <row r="795" spans="2:2" ht="15.75" customHeight="1">
      <c r="B795" s="16"/>
    </row>
    <row r="796" spans="2:2" ht="15.75" customHeight="1">
      <c r="B796" s="16"/>
    </row>
    <row r="797" spans="2:2" ht="15.75" customHeight="1">
      <c r="B797" s="16"/>
    </row>
    <row r="798" spans="2:2" ht="15.75" customHeight="1">
      <c r="B798" s="16"/>
    </row>
    <row r="799" spans="2:2" ht="15.75" customHeight="1">
      <c r="B799" s="16"/>
    </row>
    <row r="800" spans="2:2" ht="15.75" customHeight="1">
      <c r="B800" s="16"/>
    </row>
    <row r="801" spans="2:2" ht="15.75" customHeight="1">
      <c r="B801" s="16"/>
    </row>
    <row r="802" spans="2:2" ht="15.75" customHeight="1">
      <c r="B802" s="16"/>
    </row>
    <row r="803" spans="2:2" ht="15.75" customHeight="1">
      <c r="B803" s="16"/>
    </row>
    <row r="804" spans="2:2" ht="15.75" customHeight="1">
      <c r="B804" s="16"/>
    </row>
    <row r="805" spans="2:2" ht="15.75" customHeight="1">
      <c r="B805" s="16"/>
    </row>
    <row r="806" spans="2:2" ht="15.75" customHeight="1">
      <c r="B806" s="16"/>
    </row>
    <row r="807" spans="2:2" ht="15.75" customHeight="1">
      <c r="B807" s="16"/>
    </row>
    <row r="808" spans="2:2" ht="15.75" customHeight="1">
      <c r="B808" s="16"/>
    </row>
    <row r="809" spans="2:2" ht="15.75" customHeight="1">
      <c r="B809" s="16"/>
    </row>
    <row r="810" spans="2:2" ht="15.75" customHeight="1">
      <c r="B810" s="16"/>
    </row>
    <row r="811" spans="2:2" ht="15.75" customHeight="1">
      <c r="B811" s="16"/>
    </row>
    <row r="812" spans="2:2" ht="15.75" customHeight="1">
      <c r="B812" s="16"/>
    </row>
    <row r="813" spans="2:2" ht="15.75" customHeight="1">
      <c r="B813" s="16"/>
    </row>
    <row r="814" spans="2:2" ht="15.75" customHeight="1">
      <c r="B814" s="16"/>
    </row>
    <row r="815" spans="2:2" ht="15.75" customHeight="1">
      <c r="B815" s="16"/>
    </row>
    <row r="816" spans="2:2" ht="15.75" customHeight="1">
      <c r="B816" s="16"/>
    </row>
    <row r="817" spans="2:2" ht="15.75" customHeight="1">
      <c r="B817" s="16"/>
    </row>
    <row r="818" spans="2:2" ht="15.75" customHeight="1">
      <c r="B818" s="16"/>
    </row>
    <row r="819" spans="2:2" ht="15.75" customHeight="1">
      <c r="B819" s="16"/>
    </row>
    <row r="820" spans="2:2" ht="15.75" customHeight="1">
      <c r="B820" s="16"/>
    </row>
    <row r="821" spans="2:2" ht="15.75" customHeight="1">
      <c r="B821" s="16"/>
    </row>
    <row r="822" spans="2:2" ht="15.75" customHeight="1">
      <c r="B822" s="16"/>
    </row>
    <row r="823" spans="2:2" ht="15.75" customHeight="1">
      <c r="B823" s="16"/>
    </row>
    <row r="824" spans="2:2" ht="15.75" customHeight="1">
      <c r="B824" s="16"/>
    </row>
    <row r="825" spans="2:2" ht="15.75" customHeight="1">
      <c r="B825" s="16"/>
    </row>
    <row r="826" spans="2:2" ht="15.75" customHeight="1">
      <c r="B826" s="16"/>
    </row>
    <row r="827" spans="2:2" ht="15.75" customHeight="1">
      <c r="B827" s="16"/>
    </row>
    <row r="828" spans="2:2" ht="15.75" customHeight="1">
      <c r="B828" s="16"/>
    </row>
    <row r="829" spans="2:2" ht="15.75" customHeight="1">
      <c r="B829" s="16"/>
    </row>
    <row r="830" spans="2:2" ht="15.75" customHeight="1">
      <c r="B830" s="16"/>
    </row>
    <row r="831" spans="2:2" ht="15.75" customHeight="1">
      <c r="B831" s="16"/>
    </row>
    <row r="832" spans="2:2" ht="15.75" customHeight="1">
      <c r="B832" s="16"/>
    </row>
    <row r="833" spans="2:2" ht="15.75" customHeight="1">
      <c r="B833" s="16"/>
    </row>
    <row r="834" spans="2:2" ht="15.75" customHeight="1">
      <c r="B834" s="16"/>
    </row>
    <row r="835" spans="2:2" ht="15.75" customHeight="1">
      <c r="B835" s="16"/>
    </row>
    <row r="836" spans="2:2" ht="15.75" customHeight="1">
      <c r="B836" s="16"/>
    </row>
    <row r="837" spans="2:2" ht="15.75" customHeight="1">
      <c r="B837" s="16"/>
    </row>
    <row r="838" spans="2:2" ht="15.75" customHeight="1">
      <c r="B838" s="16"/>
    </row>
    <row r="839" spans="2:2" ht="15.75" customHeight="1">
      <c r="B839" s="16"/>
    </row>
    <row r="840" spans="2:2" ht="15.75" customHeight="1">
      <c r="B840" s="16"/>
    </row>
    <row r="841" spans="2:2" ht="15.75" customHeight="1">
      <c r="B841" s="16"/>
    </row>
    <row r="842" spans="2:2" ht="15.75" customHeight="1">
      <c r="B842" s="16"/>
    </row>
    <row r="843" spans="2:2" ht="15.75" customHeight="1">
      <c r="B843" s="16"/>
    </row>
    <row r="844" spans="2:2" ht="15.75" customHeight="1">
      <c r="B844" s="16"/>
    </row>
    <row r="845" spans="2:2" ht="15.75" customHeight="1">
      <c r="B845" s="16"/>
    </row>
    <row r="846" spans="2:2" ht="15.75" customHeight="1">
      <c r="B846" s="16"/>
    </row>
    <row r="847" spans="2:2" ht="15.75" customHeight="1">
      <c r="B847" s="16"/>
    </row>
    <row r="848" spans="2:2" ht="15.75" customHeight="1">
      <c r="B848" s="16"/>
    </row>
    <row r="849" spans="2:2" ht="15.75" customHeight="1">
      <c r="B849" s="16"/>
    </row>
    <row r="850" spans="2:2" ht="15.75" customHeight="1">
      <c r="B850" s="16"/>
    </row>
    <row r="851" spans="2:2" ht="15.75" customHeight="1">
      <c r="B851" s="16"/>
    </row>
    <row r="852" spans="2:2" ht="15.75" customHeight="1">
      <c r="B852" s="16"/>
    </row>
    <row r="853" spans="2:2" ht="15.75" customHeight="1">
      <c r="B853" s="16"/>
    </row>
    <row r="854" spans="2:2" ht="15.75" customHeight="1">
      <c r="B854" s="16"/>
    </row>
    <row r="855" spans="2:2" ht="15.75" customHeight="1">
      <c r="B855" s="16"/>
    </row>
    <row r="856" spans="2:2" ht="15.75" customHeight="1">
      <c r="B856" s="16"/>
    </row>
    <row r="857" spans="2:2" ht="15.75" customHeight="1">
      <c r="B857" s="16"/>
    </row>
    <row r="858" spans="2:2" ht="15.75" customHeight="1">
      <c r="B858" s="16"/>
    </row>
    <row r="859" spans="2:2" ht="15.75" customHeight="1">
      <c r="B859" s="16"/>
    </row>
    <row r="860" spans="2:2" ht="15.75" customHeight="1">
      <c r="B860" s="16"/>
    </row>
    <row r="861" spans="2:2" ht="15.75" customHeight="1">
      <c r="B861" s="16"/>
    </row>
    <row r="862" spans="2:2" ht="15.75" customHeight="1">
      <c r="B862" s="16"/>
    </row>
    <row r="863" spans="2:2" ht="15.75" customHeight="1">
      <c r="B863" s="16"/>
    </row>
    <row r="864" spans="2:2" ht="15.75" customHeight="1">
      <c r="B864" s="16"/>
    </row>
    <row r="865" spans="2:2" ht="15.75" customHeight="1">
      <c r="B865" s="16"/>
    </row>
    <row r="866" spans="2:2" ht="15.75" customHeight="1">
      <c r="B866" s="16"/>
    </row>
    <row r="867" spans="2:2" ht="15.75" customHeight="1">
      <c r="B867" s="16"/>
    </row>
    <row r="868" spans="2:2" ht="15.75" customHeight="1">
      <c r="B868" s="16"/>
    </row>
    <row r="869" spans="2:2" ht="15.75" customHeight="1">
      <c r="B869" s="16"/>
    </row>
    <row r="870" spans="2:2" ht="15.75" customHeight="1">
      <c r="B870" s="16"/>
    </row>
    <row r="871" spans="2:2" ht="15.75" customHeight="1">
      <c r="B871" s="16"/>
    </row>
    <row r="872" spans="2:2" ht="15.75" customHeight="1">
      <c r="B872" s="16"/>
    </row>
    <row r="873" spans="2:2" ht="15.75" customHeight="1">
      <c r="B873" s="16"/>
    </row>
    <row r="874" spans="2:2" ht="15.75" customHeight="1">
      <c r="B874" s="16"/>
    </row>
    <row r="875" spans="2:2" ht="15.75" customHeight="1">
      <c r="B875" s="16"/>
    </row>
    <row r="876" spans="2:2" ht="15.75" customHeight="1">
      <c r="B876" s="16"/>
    </row>
    <row r="877" spans="2:2" ht="15.75" customHeight="1">
      <c r="B877" s="16"/>
    </row>
    <row r="878" spans="2:2" ht="15.75" customHeight="1">
      <c r="B878" s="16"/>
    </row>
    <row r="879" spans="2:2" ht="15.75" customHeight="1">
      <c r="B879" s="16"/>
    </row>
    <row r="880" spans="2:2" ht="15.75" customHeight="1">
      <c r="B880" s="16"/>
    </row>
    <row r="881" spans="2:2" ht="15.75" customHeight="1">
      <c r="B881" s="16"/>
    </row>
    <row r="882" spans="2:2" ht="15.75" customHeight="1">
      <c r="B882" s="16"/>
    </row>
    <row r="883" spans="2:2" ht="15.75" customHeight="1">
      <c r="B883" s="16"/>
    </row>
    <row r="884" spans="2:2" ht="15.75" customHeight="1">
      <c r="B884" s="16"/>
    </row>
    <row r="885" spans="2:2" ht="15.75" customHeight="1">
      <c r="B885" s="16"/>
    </row>
    <row r="886" spans="2:2" ht="15.75" customHeight="1">
      <c r="B886" s="16"/>
    </row>
    <row r="887" spans="2:2" ht="15.75" customHeight="1">
      <c r="B887" s="16"/>
    </row>
    <row r="888" spans="2:2" ht="15.75" customHeight="1">
      <c r="B888" s="16"/>
    </row>
    <row r="889" spans="2:2" ht="15.75" customHeight="1">
      <c r="B889" s="16"/>
    </row>
    <row r="890" spans="2:2" ht="15.75" customHeight="1">
      <c r="B890" s="16"/>
    </row>
    <row r="891" spans="2:2" ht="15.75" customHeight="1">
      <c r="B891" s="16"/>
    </row>
    <row r="892" spans="2:2" ht="15.75" customHeight="1">
      <c r="B892" s="16"/>
    </row>
    <row r="893" spans="2:2" ht="15.75" customHeight="1">
      <c r="B893" s="16"/>
    </row>
    <row r="894" spans="2:2" ht="15.75" customHeight="1">
      <c r="B894" s="16"/>
    </row>
    <row r="895" spans="2:2" ht="15.75" customHeight="1">
      <c r="B895" s="16"/>
    </row>
    <row r="896" spans="2:2" ht="15.75" customHeight="1">
      <c r="B896" s="16"/>
    </row>
    <row r="897" spans="2:2" ht="15.75" customHeight="1">
      <c r="B897" s="16"/>
    </row>
    <row r="898" spans="2:2" ht="15.75" customHeight="1">
      <c r="B898" s="16"/>
    </row>
    <row r="899" spans="2:2" ht="15.75" customHeight="1">
      <c r="B899" s="16"/>
    </row>
    <row r="900" spans="2:2" ht="15.75" customHeight="1">
      <c r="B900" s="16"/>
    </row>
    <row r="901" spans="2:2" ht="15.75" customHeight="1">
      <c r="B901" s="16"/>
    </row>
    <row r="902" spans="2:2" ht="15.75" customHeight="1">
      <c r="B902" s="16"/>
    </row>
    <row r="903" spans="2:2" ht="15.75" customHeight="1">
      <c r="B903" s="16"/>
    </row>
    <row r="904" spans="2:2" ht="15.75" customHeight="1">
      <c r="B904" s="16"/>
    </row>
    <row r="905" spans="2:2" ht="15.75" customHeight="1">
      <c r="B905" s="16"/>
    </row>
    <row r="906" spans="2:2" ht="15.75" customHeight="1">
      <c r="B906" s="16"/>
    </row>
    <row r="907" spans="2:2" ht="15.75" customHeight="1">
      <c r="B907" s="16"/>
    </row>
    <row r="908" spans="2:2" ht="15.75" customHeight="1">
      <c r="B908" s="16"/>
    </row>
    <row r="909" spans="2:2" ht="15.75" customHeight="1">
      <c r="B909" s="16"/>
    </row>
    <row r="910" spans="2:2" ht="15.75" customHeight="1">
      <c r="B910" s="16"/>
    </row>
    <row r="911" spans="2:2" ht="15.75" customHeight="1">
      <c r="B911" s="16"/>
    </row>
    <row r="912" spans="2:2" ht="15.75" customHeight="1">
      <c r="B912" s="16"/>
    </row>
    <row r="913" spans="2:2" ht="15.75" customHeight="1">
      <c r="B913" s="16"/>
    </row>
    <row r="914" spans="2:2" ht="15.75" customHeight="1">
      <c r="B914" s="16"/>
    </row>
    <row r="915" spans="2:2" ht="15.75" customHeight="1">
      <c r="B915" s="16"/>
    </row>
    <row r="916" spans="2:2" ht="15.75" customHeight="1">
      <c r="B916" s="16"/>
    </row>
    <row r="917" spans="2:2" ht="15.75" customHeight="1">
      <c r="B917" s="16"/>
    </row>
    <row r="918" spans="2:2" ht="15.75" customHeight="1">
      <c r="B918" s="16"/>
    </row>
    <row r="919" spans="2:2" ht="15.75" customHeight="1">
      <c r="B919" s="16"/>
    </row>
    <row r="920" spans="2:2" ht="15.75" customHeight="1">
      <c r="B920" s="16"/>
    </row>
    <row r="921" spans="2:2" ht="15.75" customHeight="1">
      <c r="B921" s="16"/>
    </row>
    <row r="922" spans="2:2" ht="15.75" customHeight="1">
      <c r="B922" s="16"/>
    </row>
    <row r="923" spans="2:2" ht="15.75" customHeight="1">
      <c r="B923" s="16"/>
    </row>
    <row r="924" spans="2:2" ht="15.75" customHeight="1">
      <c r="B924" s="16"/>
    </row>
    <row r="925" spans="2:2" ht="15.75" customHeight="1">
      <c r="B925" s="16"/>
    </row>
    <row r="926" spans="2:2" ht="15.75" customHeight="1">
      <c r="B926" s="16"/>
    </row>
    <row r="927" spans="2:2" ht="15.75" customHeight="1">
      <c r="B927" s="16"/>
    </row>
    <row r="928" spans="2:2" ht="15.75" customHeight="1">
      <c r="B928" s="16"/>
    </row>
    <row r="929" spans="2:2" ht="15.75" customHeight="1">
      <c r="B929" s="16"/>
    </row>
    <row r="930" spans="2:2" ht="15.75" customHeight="1">
      <c r="B930" s="16"/>
    </row>
    <row r="931" spans="2:2" ht="15.75" customHeight="1">
      <c r="B931" s="16"/>
    </row>
    <row r="932" spans="2:2" ht="15.75" customHeight="1">
      <c r="B932" s="16"/>
    </row>
    <row r="933" spans="2:2" ht="15.75" customHeight="1">
      <c r="B933" s="16"/>
    </row>
    <row r="934" spans="2:2" ht="15.75" customHeight="1">
      <c r="B934" s="16"/>
    </row>
    <row r="935" spans="2:2" ht="15.75" customHeight="1">
      <c r="B935" s="16"/>
    </row>
    <row r="936" spans="2:2" ht="15.75" customHeight="1">
      <c r="B936" s="16"/>
    </row>
    <row r="937" spans="2:2" ht="15.75" customHeight="1">
      <c r="B937" s="16"/>
    </row>
    <row r="938" spans="2:2" ht="15.75" customHeight="1">
      <c r="B938" s="16"/>
    </row>
    <row r="939" spans="2:2" ht="15.75" customHeight="1">
      <c r="B939" s="16"/>
    </row>
    <row r="940" spans="2:2" ht="15.75" customHeight="1">
      <c r="B940" s="16"/>
    </row>
    <row r="941" spans="2:2" ht="15.75" customHeight="1">
      <c r="B941" s="16"/>
    </row>
    <row r="942" spans="2:2" ht="15.75" customHeight="1">
      <c r="B942" s="16"/>
    </row>
    <row r="943" spans="2:2" ht="15.75" customHeight="1">
      <c r="B943" s="16"/>
    </row>
    <row r="944" spans="2:2" ht="15.75" customHeight="1">
      <c r="B944" s="16"/>
    </row>
    <row r="945" spans="2:2" ht="15.75" customHeight="1">
      <c r="B945" s="16"/>
    </row>
    <row r="946" spans="2:2" ht="15.75" customHeight="1">
      <c r="B946" s="16"/>
    </row>
    <row r="947" spans="2:2" ht="15.75" customHeight="1">
      <c r="B947" s="16"/>
    </row>
    <row r="948" spans="2:2" ht="15.75" customHeight="1">
      <c r="B948" s="16"/>
    </row>
    <row r="949" spans="2:2" ht="15.75" customHeight="1">
      <c r="B949" s="16"/>
    </row>
    <row r="950" spans="2:2" ht="15.75" customHeight="1">
      <c r="B950" s="16"/>
    </row>
    <row r="951" spans="2:2" ht="15.75" customHeight="1">
      <c r="B951" s="16"/>
    </row>
    <row r="952" spans="2:2" ht="15.75" customHeight="1">
      <c r="B952" s="16"/>
    </row>
    <row r="953" spans="2:2" ht="15.75" customHeight="1">
      <c r="B953" s="16"/>
    </row>
    <row r="954" spans="2:2" ht="15.75" customHeight="1">
      <c r="B954" s="16"/>
    </row>
    <row r="955" spans="2:2" ht="15.75" customHeight="1">
      <c r="B955" s="16"/>
    </row>
    <row r="956" spans="2:2" ht="15.75" customHeight="1">
      <c r="B956" s="16"/>
    </row>
    <row r="957" spans="2:2" ht="15.75" customHeight="1">
      <c r="B957" s="16"/>
    </row>
    <row r="958" spans="2:2" ht="15.75" customHeight="1">
      <c r="B958" s="16"/>
    </row>
    <row r="959" spans="2:2" ht="15.75" customHeight="1">
      <c r="B959" s="16"/>
    </row>
    <row r="960" spans="2:2" ht="15.75" customHeight="1">
      <c r="B960" s="16"/>
    </row>
    <row r="961" spans="2:2" ht="15.75" customHeight="1">
      <c r="B961" s="16"/>
    </row>
    <row r="962" spans="2:2" ht="15.75" customHeight="1">
      <c r="B962" s="16"/>
    </row>
    <row r="963" spans="2:2" ht="15.75" customHeight="1">
      <c r="B963" s="16"/>
    </row>
    <row r="964" spans="2:2" ht="15.75" customHeight="1">
      <c r="B964" s="16"/>
    </row>
    <row r="965" spans="2:2" ht="15.75" customHeight="1">
      <c r="B965" s="16"/>
    </row>
    <row r="966" spans="2:2" ht="15.75" customHeight="1">
      <c r="B966" s="16"/>
    </row>
    <row r="967" spans="2:2" ht="15.75" customHeight="1">
      <c r="B967" s="16"/>
    </row>
    <row r="968" spans="2:2" ht="15.75" customHeight="1">
      <c r="B968" s="16"/>
    </row>
    <row r="969" spans="2:2" ht="15.75" customHeight="1">
      <c r="B969" s="16"/>
    </row>
    <row r="970" spans="2:2" ht="15.75" customHeight="1">
      <c r="B970" s="16"/>
    </row>
    <row r="971" spans="2:2" ht="15.75" customHeight="1">
      <c r="B971" s="16"/>
    </row>
    <row r="972" spans="2:2" ht="15.75" customHeight="1">
      <c r="B972" s="16"/>
    </row>
    <row r="973" spans="2:2" ht="15.75" customHeight="1">
      <c r="B973" s="16"/>
    </row>
    <row r="974" spans="2:2" ht="15.75" customHeight="1">
      <c r="B974" s="16"/>
    </row>
    <row r="975" spans="2:2" ht="15.75" customHeight="1">
      <c r="B975" s="16"/>
    </row>
    <row r="976" spans="2:2" ht="15.75" customHeight="1">
      <c r="B976" s="16"/>
    </row>
    <row r="977" spans="2:2" ht="15.75" customHeight="1">
      <c r="B977" s="16"/>
    </row>
    <row r="978" spans="2:2" ht="15.75" customHeight="1">
      <c r="B978" s="16"/>
    </row>
    <row r="979" spans="2:2" ht="15.75" customHeight="1">
      <c r="B979" s="16"/>
    </row>
    <row r="980" spans="2:2" ht="15.75" customHeight="1">
      <c r="B980" s="16"/>
    </row>
    <row r="981" spans="2:2" ht="15.75" customHeight="1">
      <c r="B981" s="16"/>
    </row>
    <row r="982" spans="2:2" ht="15.75" customHeight="1">
      <c r="B982" s="16"/>
    </row>
    <row r="983" spans="2:2" ht="15.75" customHeight="1">
      <c r="B983" s="16"/>
    </row>
    <row r="984" spans="2:2" ht="15.75" customHeight="1">
      <c r="B984" s="16"/>
    </row>
    <row r="985" spans="2:2" ht="15.75" customHeight="1">
      <c r="B985" s="16"/>
    </row>
    <row r="986" spans="2:2" ht="15.75" customHeight="1">
      <c r="B986" s="16"/>
    </row>
    <row r="987" spans="2:2" ht="15.75" customHeight="1">
      <c r="B987" s="16"/>
    </row>
    <row r="988" spans="2:2" ht="15.75" customHeight="1">
      <c r="B988" s="16"/>
    </row>
    <row r="989" spans="2:2" ht="15.75" customHeight="1">
      <c r="B989" s="16"/>
    </row>
    <row r="990" spans="2:2" ht="15.75" customHeight="1">
      <c r="B990" s="16"/>
    </row>
    <row r="991" spans="2:2" ht="15.75" customHeight="1">
      <c r="B991" s="16"/>
    </row>
    <row r="992" spans="2:2" ht="15.75" customHeight="1">
      <c r="B992" s="16"/>
    </row>
    <row r="993" spans="2:2" ht="15.75" customHeight="1">
      <c r="B993" s="16"/>
    </row>
    <row r="994" spans="2:2" ht="15.75" customHeight="1">
      <c r="B994" s="16"/>
    </row>
    <row r="995" spans="2:2" ht="15.75" customHeight="1">
      <c r="B995" s="16"/>
    </row>
    <row r="996" spans="2:2" ht="15.75" customHeight="1">
      <c r="B996" s="16"/>
    </row>
    <row r="997" spans="2:2" ht="15.75" customHeight="1">
      <c r="B997" s="16"/>
    </row>
    <row r="998" spans="2:2" ht="15.75" customHeight="1">
      <c r="B998" s="16"/>
    </row>
    <row r="999" spans="2:2" ht="15.75" customHeight="1">
      <c r="B999" s="16"/>
    </row>
    <row r="1000" spans="2:2" ht="15.75" customHeight="1">
      <c r="B1000" s="16"/>
    </row>
    <row r="1001" spans="2:2" ht="15.75" customHeight="1">
      <c r="B1001" s="16"/>
    </row>
    <row r="1002" spans="2:2" ht="15.75" customHeight="1">
      <c r="B1002" s="16"/>
    </row>
    <row r="1003" spans="2:2" ht="15.75" customHeight="1">
      <c r="B1003" s="16"/>
    </row>
  </sheetData>
  <autoFilter ref="A1:Y183" xr:uid="{00000000-0001-0000-0800-000000000000}"/>
  <dataValidations count="10">
    <dataValidation type="list" allowBlank="1" showErrorMessage="1" sqref="I41:K41 H48 J48:K48 H49:K49 H50 J50:K50 H39:H40 I139:I140 K32:K33 H32:I33 H2:K31 H34:K38 J39:K40 H42:K47 H51:K52" xr:uid="{00000000-0002-0000-08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800-000001000000}">
      <formula1>#REF!</formula1>
    </dataValidation>
    <dataValidation type="list" allowBlank="1" showErrorMessage="1" sqref="H110:I110 K110 H114:J114 H105:K109 H111:K113" xr:uid="{00000000-0002-0000-0800-000002000000}">
      <formula1>$G$1:$G$126</formula1>
    </dataValidation>
    <dataValidation type="list" allowBlank="1" showErrorMessage="1" sqref="R140 R105:T114" xr:uid="{00000000-0002-0000-0800-000003000000}">
      <formula1>$I$1:$I$126</formula1>
    </dataValidation>
    <dataValidation type="list" allowBlank="1" showErrorMessage="1" sqref="F2:G52" xr:uid="{00000000-0002-0000-0800-000004000000}">
      <formula1>Themes</formula1>
    </dataValidation>
    <dataValidation type="list" allowBlank="1" showErrorMessage="1" sqref="F105:G114" xr:uid="{00000000-0002-0000-0800-000005000000}">
      <formula1>$B$1:$B$16</formula1>
    </dataValidation>
    <dataValidation type="list" allowBlank="1" showErrorMessage="1" sqref="L105:N114" xr:uid="{00000000-0002-0000-0800-000006000000}">
      <formula1>$H$1:$H$126</formula1>
    </dataValidation>
    <dataValidation type="list" allowBlank="1" showErrorMessage="1" sqref="O105:Q114" xr:uid="{00000000-0002-0000-0800-000007000000}">
      <formula1>$L$1:$L$7</formula1>
    </dataValidation>
    <dataValidation type="list" allowBlank="1" showErrorMessage="1" sqref="L2:N52" xr:uid="{00000000-0002-0000-0800-000008000000}">
      <formula1>Country</formula1>
    </dataValidation>
    <dataValidation type="list" allowBlank="1" showErrorMessage="1" sqref="O2:Q52" xr:uid="{00000000-0002-0000-0800-000009000000}">
      <formula1>Region</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4" r:id="rId43" xr:uid="{00000000-0004-0000-0800-00002A000000}"/>
    <hyperlink ref="B45" r:id="rId44" xr:uid="{00000000-0004-0000-0800-00002B000000}"/>
    <hyperlink ref="B46" r:id="rId45" xr:uid="{00000000-0004-0000-0800-00002C000000}"/>
    <hyperlink ref="B47" r:id="rId46" xr:uid="{00000000-0004-0000-0800-00002D000000}"/>
    <hyperlink ref="B48" r:id="rId47" xr:uid="{00000000-0004-0000-0800-00002E000000}"/>
    <hyperlink ref="B49" r:id="rId48" xr:uid="{00000000-0004-0000-0800-00002F000000}"/>
    <hyperlink ref="B50" r:id="rId49" xr:uid="{00000000-0004-0000-0800-000030000000}"/>
    <hyperlink ref="B51" r:id="rId50" xr:uid="{00000000-0004-0000-0800-000031000000}"/>
    <hyperlink ref="B52" r:id="rId51" xr:uid="{00000000-0004-0000-0800-000032000000}"/>
    <hyperlink ref="B53" r:id="rId52" xr:uid="{00000000-0004-0000-0800-000033000000}"/>
    <hyperlink ref="B54" r:id="rId53" xr:uid="{00000000-0004-0000-0800-000034000000}"/>
    <hyperlink ref="B55" r:id="rId54" xr:uid="{00000000-0004-0000-0800-000035000000}"/>
    <hyperlink ref="B56" r:id="rId55" xr:uid="{00000000-0004-0000-0800-000036000000}"/>
    <hyperlink ref="B57" r:id="rId56" xr:uid="{00000000-0004-0000-0800-000037000000}"/>
    <hyperlink ref="B58" r:id="rId57" xr:uid="{00000000-0004-0000-0800-000038000000}"/>
    <hyperlink ref="B59" r:id="rId58" xr:uid="{00000000-0004-0000-0800-000039000000}"/>
    <hyperlink ref="B60" r:id="rId59" xr:uid="{00000000-0004-0000-0800-00003A000000}"/>
    <hyperlink ref="B61" r:id="rId60" xr:uid="{00000000-0004-0000-0800-00003B000000}"/>
    <hyperlink ref="B62" r:id="rId61" xr:uid="{00000000-0004-0000-0800-00003C000000}"/>
    <hyperlink ref="B63" r:id="rId62" xr:uid="{00000000-0004-0000-0800-00003D000000}"/>
    <hyperlink ref="B64" r:id="rId63" xr:uid="{00000000-0004-0000-0800-00003E000000}"/>
    <hyperlink ref="B65" r:id="rId64" xr:uid="{00000000-0004-0000-0800-00003F000000}"/>
    <hyperlink ref="B66" r:id="rId65" xr:uid="{00000000-0004-0000-0800-000040000000}"/>
    <hyperlink ref="B67" r:id="rId66" xr:uid="{00000000-0004-0000-0800-000041000000}"/>
    <hyperlink ref="B68" r:id="rId67" xr:uid="{00000000-0004-0000-0800-000042000000}"/>
    <hyperlink ref="B69" r:id="rId68" xr:uid="{00000000-0004-0000-0800-000043000000}"/>
    <hyperlink ref="B70" r:id="rId69" xr:uid="{00000000-0004-0000-0800-000044000000}"/>
    <hyperlink ref="B71" r:id="rId70" xr:uid="{00000000-0004-0000-0800-000045000000}"/>
    <hyperlink ref="B72" r:id="rId71" xr:uid="{00000000-0004-0000-0800-000046000000}"/>
    <hyperlink ref="B73" r:id="rId72" xr:uid="{00000000-0004-0000-0800-000047000000}"/>
    <hyperlink ref="B74" r:id="rId73" xr:uid="{00000000-0004-0000-0800-000048000000}"/>
    <hyperlink ref="B75" r:id="rId74" xr:uid="{00000000-0004-0000-0800-000049000000}"/>
    <hyperlink ref="B76" r:id="rId75" xr:uid="{00000000-0004-0000-0800-00004A000000}"/>
    <hyperlink ref="B77" r:id="rId76" xr:uid="{00000000-0004-0000-0800-00004B000000}"/>
    <hyperlink ref="B78" r:id="rId77" xr:uid="{00000000-0004-0000-0800-00004C000000}"/>
    <hyperlink ref="B79" r:id="rId78" xr:uid="{00000000-0004-0000-0800-00004D000000}"/>
    <hyperlink ref="B80" r:id="rId79" xr:uid="{00000000-0004-0000-0800-00004E000000}"/>
    <hyperlink ref="B81" r:id="rId80" xr:uid="{00000000-0004-0000-0800-00004F000000}"/>
    <hyperlink ref="B82" r:id="rId81" xr:uid="{00000000-0004-0000-0800-000050000000}"/>
    <hyperlink ref="B83" r:id="rId82" xr:uid="{00000000-0004-0000-0800-000051000000}"/>
    <hyperlink ref="B84" r:id="rId83" xr:uid="{00000000-0004-0000-0800-000052000000}"/>
    <hyperlink ref="B85" r:id="rId84" xr:uid="{00000000-0004-0000-0800-000053000000}"/>
    <hyperlink ref="B86" r:id="rId85" xr:uid="{00000000-0004-0000-0800-000054000000}"/>
    <hyperlink ref="B87" r:id="rId86" xr:uid="{00000000-0004-0000-0800-000055000000}"/>
    <hyperlink ref="B88" r:id="rId87" xr:uid="{00000000-0004-0000-0800-000056000000}"/>
    <hyperlink ref="B89" r:id="rId88" xr:uid="{00000000-0004-0000-0800-000057000000}"/>
    <hyperlink ref="B90" r:id="rId89" xr:uid="{00000000-0004-0000-0800-000058000000}"/>
    <hyperlink ref="B91" r:id="rId90" xr:uid="{00000000-0004-0000-0800-000059000000}"/>
    <hyperlink ref="B92" r:id="rId91" xr:uid="{00000000-0004-0000-0800-00005A000000}"/>
    <hyperlink ref="B93" r:id="rId92" xr:uid="{00000000-0004-0000-0800-00005B000000}"/>
    <hyperlink ref="B94" r:id="rId93" xr:uid="{00000000-0004-0000-0800-00005C000000}"/>
    <hyperlink ref="B95" r:id="rId94" xr:uid="{00000000-0004-0000-0800-00005D000000}"/>
    <hyperlink ref="B96" r:id="rId95" xr:uid="{00000000-0004-0000-0800-00005E000000}"/>
    <hyperlink ref="B97" r:id="rId96" xr:uid="{00000000-0004-0000-0800-00005F000000}"/>
    <hyperlink ref="B98" r:id="rId97" xr:uid="{00000000-0004-0000-0800-000060000000}"/>
    <hyperlink ref="B99" r:id="rId98" xr:uid="{00000000-0004-0000-0800-000061000000}"/>
    <hyperlink ref="B100" r:id="rId99" xr:uid="{00000000-0004-0000-0800-000062000000}"/>
    <hyperlink ref="B101" r:id="rId100" xr:uid="{00000000-0004-0000-0800-000063000000}"/>
    <hyperlink ref="B102" r:id="rId101" xr:uid="{00000000-0004-0000-0800-000064000000}"/>
    <hyperlink ref="B103" r:id="rId102" xr:uid="{00000000-0004-0000-0800-000065000000}"/>
    <hyperlink ref="B104" r:id="rId103" xr:uid="{00000000-0004-0000-0800-000066000000}"/>
    <hyperlink ref="B105" r:id="rId104" xr:uid="{00000000-0004-0000-0800-000067000000}"/>
    <hyperlink ref="B106" r:id="rId105" xr:uid="{00000000-0004-0000-0800-000068000000}"/>
    <hyperlink ref="B107" r:id="rId106" xr:uid="{00000000-0004-0000-0800-000069000000}"/>
    <hyperlink ref="B108" r:id="rId107" xr:uid="{00000000-0004-0000-0800-00006A000000}"/>
    <hyperlink ref="B109" r:id="rId108" xr:uid="{00000000-0004-0000-0800-00006B000000}"/>
    <hyperlink ref="B110" r:id="rId109" xr:uid="{00000000-0004-0000-0800-00006C000000}"/>
    <hyperlink ref="B111" r:id="rId110" xr:uid="{00000000-0004-0000-0800-00006D000000}"/>
    <hyperlink ref="B112" r:id="rId111" xr:uid="{00000000-0004-0000-0800-00006E000000}"/>
    <hyperlink ref="B113" r:id="rId112" xr:uid="{00000000-0004-0000-0800-00006F000000}"/>
    <hyperlink ref="B114" r:id="rId113" xr:uid="{00000000-0004-0000-0800-000070000000}"/>
    <hyperlink ref="B115" r:id="rId114" xr:uid="{00000000-0004-0000-0800-000071000000}"/>
    <hyperlink ref="B116" r:id="rId115" xr:uid="{00000000-0004-0000-0800-000072000000}"/>
    <hyperlink ref="B117" r:id="rId116" xr:uid="{00000000-0004-0000-0800-000073000000}"/>
    <hyperlink ref="B118" r:id="rId117" xr:uid="{00000000-0004-0000-0800-000074000000}"/>
    <hyperlink ref="B119" r:id="rId118" xr:uid="{00000000-0004-0000-0800-000075000000}"/>
    <hyperlink ref="B120" r:id="rId119" xr:uid="{00000000-0004-0000-0800-000076000000}"/>
    <hyperlink ref="B121" r:id="rId120" xr:uid="{00000000-0004-0000-0800-000077000000}"/>
    <hyperlink ref="B122" r:id="rId121" xr:uid="{00000000-0004-0000-0800-000078000000}"/>
    <hyperlink ref="B123" r:id="rId122" xr:uid="{00000000-0004-0000-0800-000079000000}"/>
    <hyperlink ref="B124" r:id="rId123" xr:uid="{00000000-0004-0000-0800-00007A000000}"/>
    <hyperlink ref="B125" r:id="rId124" xr:uid="{00000000-0004-0000-0800-00007B000000}"/>
    <hyperlink ref="B126" r:id="rId125" xr:uid="{00000000-0004-0000-0800-00007C000000}"/>
    <hyperlink ref="B127" r:id="rId126" xr:uid="{00000000-0004-0000-0800-00007D000000}"/>
    <hyperlink ref="B128" r:id="rId127" xr:uid="{00000000-0004-0000-0800-00007E000000}"/>
    <hyperlink ref="B129" r:id="rId128" xr:uid="{00000000-0004-0000-0800-00007F000000}"/>
    <hyperlink ref="B130" r:id="rId129" xr:uid="{00000000-0004-0000-0800-000080000000}"/>
    <hyperlink ref="B131" r:id="rId130" xr:uid="{00000000-0004-0000-0800-000081000000}"/>
    <hyperlink ref="B132" r:id="rId131" xr:uid="{00000000-0004-0000-0800-000082000000}"/>
    <hyperlink ref="B133" r:id="rId132" xr:uid="{00000000-0004-0000-0800-000083000000}"/>
    <hyperlink ref="B134" r:id="rId133" xr:uid="{00000000-0004-0000-0800-000084000000}"/>
    <hyperlink ref="B135" r:id="rId134" xr:uid="{00000000-0004-0000-0800-000085000000}"/>
    <hyperlink ref="B136" r:id="rId135" xr:uid="{00000000-0004-0000-0800-000086000000}"/>
    <hyperlink ref="B137" r:id="rId136" xr:uid="{00000000-0004-0000-0800-000087000000}"/>
    <hyperlink ref="B138" r:id="rId137" xr:uid="{00000000-0004-0000-0800-000088000000}"/>
    <hyperlink ref="B139" r:id="rId138" xr:uid="{00000000-0004-0000-0800-000089000000}"/>
    <hyperlink ref="B140" r:id="rId139" xr:uid="{00000000-0004-0000-0800-00008A000000}"/>
    <hyperlink ref="B141" r:id="rId140" xr:uid="{00000000-0004-0000-0800-00008B000000}"/>
    <hyperlink ref="B142" r:id="rId141" xr:uid="{00000000-0004-0000-0800-00008C000000}"/>
    <hyperlink ref="B143" r:id="rId142" xr:uid="{00000000-0004-0000-0800-00008D000000}"/>
    <hyperlink ref="B144" r:id="rId143" xr:uid="{00000000-0004-0000-0800-00008E000000}"/>
    <hyperlink ref="B145" r:id="rId144" xr:uid="{00000000-0004-0000-0800-00008F000000}"/>
    <hyperlink ref="B146" r:id="rId145" xr:uid="{00000000-0004-0000-0800-000090000000}"/>
    <hyperlink ref="B147" r:id="rId146" xr:uid="{00000000-0004-0000-0800-000091000000}"/>
    <hyperlink ref="B148" r:id="rId147" xr:uid="{00000000-0004-0000-0800-000092000000}"/>
    <hyperlink ref="B149" r:id="rId148" xr:uid="{00000000-0004-0000-0800-000093000000}"/>
    <hyperlink ref="B150" r:id="rId149" xr:uid="{00000000-0004-0000-0800-000094000000}"/>
    <hyperlink ref="B151" r:id="rId150" xr:uid="{00000000-0004-0000-0800-000095000000}"/>
    <hyperlink ref="B152" r:id="rId151" xr:uid="{00000000-0004-0000-0800-000096000000}"/>
    <hyperlink ref="B153" r:id="rId152" location=".U6KN7PmSwrg" xr:uid="{00000000-0004-0000-0800-000097000000}"/>
    <hyperlink ref="B154" r:id="rId153" xr:uid="{00000000-0004-0000-0800-000098000000}"/>
    <hyperlink ref="B155" r:id="rId154" xr:uid="{00000000-0004-0000-0800-000099000000}"/>
    <hyperlink ref="B156" r:id="rId155" xr:uid="{00000000-0004-0000-0800-00009A000000}"/>
    <hyperlink ref="B157" r:id="rId156" xr:uid="{00000000-0004-0000-0800-00009B000000}"/>
    <hyperlink ref="B158" r:id="rId157" xr:uid="{00000000-0004-0000-0800-00009C000000}"/>
    <hyperlink ref="B159" r:id="rId158" xr:uid="{00000000-0004-0000-0800-00009D000000}"/>
    <hyperlink ref="B160" r:id="rId159" xr:uid="{00000000-0004-0000-0800-00009E000000}"/>
    <hyperlink ref="B161" r:id="rId160" xr:uid="{00000000-0004-0000-0800-00009F000000}"/>
    <hyperlink ref="B162" r:id="rId161" xr:uid="{00000000-0004-0000-0800-0000A0000000}"/>
    <hyperlink ref="B163" r:id="rId162" xr:uid="{00000000-0004-0000-0800-0000A1000000}"/>
    <hyperlink ref="B164" r:id="rId163" location=".VfuXIt-qqko" xr:uid="{00000000-0004-0000-0800-0000A2000000}"/>
    <hyperlink ref="B165" r:id="rId164" xr:uid="{00000000-0004-0000-0800-0000A3000000}"/>
    <hyperlink ref="B166" r:id="rId165" xr:uid="{00000000-0004-0000-0800-0000A4000000}"/>
    <hyperlink ref="B167" r:id="rId166" location=".V4eBG_l97IU" xr:uid="{00000000-0004-0000-0800-0000A5000000}"/>
    <hyperlink ref="B168" r:id="rId167" location=".V4eBovl97IU" xr:uid="{00000000-0004-0000-0800-0000A6000000}"/>
    <hyperlink ref="B169" r:id="rId168" xr:uid="{00000000-0004-0000-0800-0000A7000000}"/>
    <hyperlink ref="B170" r:id="rId169" xr:uid="{00000000-0004-0000-0800-0000A8000000}"/>
    <hyperlink ref="B171" r:id="rId170" xr:uid="{00000000-0004-0000-0800-0000A9000000}"/>
    <hyperlink ref="B172" r:id="rId171" xr:uid="{00000000-0004-0000-0800-0000AA000000}"/>
    <hyperlink ref="B173" r:id="rId172" xr:uid="{00000000-0004-0000-0800-0000AB000000}"/>
    <hyperlink ref="B174" r:id="rId173" xr:uid="{00000000-0004-0000-0800-0000AC000000}"/>
    <hyperlink ref="B175" r:id="rId174" xr:uid="{00000000-0004-0000-0800-0000AD000000}"/>
    <hyperlink ref="B178" r:id="rId175" xr:uid="{00000000-0004-0000-0800-0000AE000000}"/>
    <hyperlink ref="B182" r:id="rId176" xr:uid="{00000000-0004-0000-0800-0000AF000000}"/>
    <hyperlink ref="B183" r:id="rId177" xr:uid="{00000000-0004-0000-0800-0000B0000000}"/>
    <hyperlink ref="B179" r:id="rId178" xr:uid="{1275192F-15FD-4070-B498-FE59564D280E}"/>
    <hyperlink ref="B180" r:id="rId179" xr:uid="{F848D7B3-4EFF-452B-BE49-9BB8BE539D09}"/>
    <hyperlink ref="B181" r:id="rId180" xr:uid="{D5E2153F-02C9-4405-B627-230E5BA57752}"/>
  </hyperlinks>
  <pageMargins left="0.7" right="0.7" top="0.75" bottom="0.75" header="0" footer="0"/>
  <pageSetup paperSize="9" orientation="portrait" r:id="rId1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MicroSave Consulting</dc:creator>
  <cp:keywords/>
  <dc:description/>
  <cp:lastModifiedBy>Anusruta Dey</cp:lastModifiedBy>
  <cp:revision/>
  <dcterms:created xsi:type="dcterms:W3CDTF">2019-07-25T09:39:00Z</dcterms:created>
  <dcterms:modified xsi:type="dcterms:W3CDTF">2026-05-29T06:02:31Z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